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bustos\Documents\VAVM Gestión Desde 14-11-2018\"/>
    </mc:Choice>
  </mc:AlternateContent>
  <xr:revisionPtr revIDLastSave="0" documentId="13_ncr:1_{90442292-F846-4918-87E7-23B0954000BB}" xr6:coauthVersionLast="47" xr6:coauthVersionMax="47" xr10:uidLastSave="{00000000-0000-0000-0000-000000000000}"/>
  <bookViews>
    <workbookView xWindow="20370" yWindow="-120" windowWidth="24240" windowHeight="13020" firstSheet="1" activeTab="1" xr2:uid="{29D925F5-A06B-4698-BBE4-3E5BBEBB5E3A}"/>
  </bookViews>
  <sheets>
    <sheet name="Avance General Julio 2022" sheetId="3" state="hidden" r:id="rId1"/>
    <sheet name="Avance General y Detallado FA" sheetId="2" r:id="rId2"/>
  </sheets>
  <definedNames>
    <definedName name="_xlnm._FilterDatabase" localSheetId="0" hidden="1">'Avance General Julio 2022'!$B$58:$R$75</definedName>
    <definedName name="_xlnm._FilterDatabase" localSheetId="1" hidden="1">'Avance General y Detallado FA'!$B$58:$AD$75</definedName>
    <definedName name="_xlnm.Print_Area" localSheetId="0">'Avance General Julio 2022'!$B$30:$P$58</definedName>
    <definedName name="_xlnm.Print_Area" localSheetId="1">'Avance General y Detallado FA'!$B$30:$AB$58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2" l="1"/>
  <c r="L51" i="2" s="1"/>
  <c r="J50" i="2"/>
  <c r="K50" i="2" s="1"/>
  <c r="L50" i="2" s="1"/>
  <c r="J49" i="2"/>
  <c r="J37" i="2"/>
  <c r="K49" i="2" l="1"/>
  <c r="L49" i="2" s="1"/>
  <c r="R64" i="2" l="1"/>
  <c r="T69" i="2"/>
  <c r="K51" i="3" l="1"/>
  <c r="J50" i="3"/>
  <c r="J49" i="3"/>
  <c r="K46" i="3"/>
  <c r="K45" i="3"/>
  <c r="J37" i="3"/>
  <c r="J34" i="3"/>
  <c r="J33" i="3"/>
  <c r="J32" i="3"/>
  <c r="K32" i="3" l="1"/>
  <c r="K34" i="3"/>
  <c r="K49" i="3"/>
  <c r="L49" i="3" s="1"/>
  <c r="K50" i="3"/>
  <c r="L50" i="3" s="1"/>
  <c r="L51" i="3"/>
  <c r="K37" i="3"/>
  <c r="L37" i="3" s="1"/>
  <c r="K33" i="3"/>
  <c r="L33" i="3" s="1"/>
  <c r="L32" i="3"/>
  <c r="M32" i="3" s="1"/>
  <c r="L34" i="3" l="1"/>
  <c r="M37" i="3"/>
  <c r="M33" i="3"/>
  <c r="M34" i="3" l="1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3" i="2"/>
  <c r="AA52" i="2"/>
  <c r="AA51" i="2"/>
  <c r="O51" i="3" s="1"/>
  <c r="P51" i="3" s="1"/>
  <c r="Q51" i="3" s="1"/>
  <c r="AA50" i="2"/>
  <c r="O50" i="3" s="1"/>
  <c r="P50" i="3" s="1"/>
  <c r="Q50" i="3" s="1"/>
  <c r="AA49" i="2"/>
  <c r="O49" i="3" s="1"/>
  <c r="P49" i="3" s="1"/>
  <c r="Q49" i="3" s="1"/>
  <c r="AA48" i="2"/>
  <c r="AA47" i="2"/>
  <c r="AA46" i="2"/>
  <c r="O46" i="3" s="1"/>
  <c r="P46" i="3" s="1"/>
  <c r="Q46" i="3" s="1"/>
  <c r="AA45" i="2"/>
  <c r="O45" i="3" s="1"/>
  <c r="P45" i="3" s="1"/>
  <c r="Q45" i="3" s="1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O32" i="3" s="1"/>
  <c r="P32" i="3" s="1"/>
  <c r="Q32" i="3" s="1"/>
  <c r="AA31" i="2"/>
  <c r="O35" i="3" l="1"/>
  <c r="P35" i="3" s="1"/>
  <c r="Q35" i="3" s="1"/>
  <c r="AB35" i="2"/>
  <c r="O38" i="3"/>
  <c r="P38" i="3" s="1"/>
  <c r="Q38" i="3" s="1"/>
  <c r="AB38" i="2"/>
  <c r="AB67" i="2"/>
  <c r="O67" i="3"/>
  <c r="P67" i="3" s="1"/>
  <c r="Q67" i="3" s="1"/>
  <c r="O52" i="3"/>
  <c r="P52" i="3" s="1"/>
  <c r="Q52" i="3" s="1"/>
  <c r="AB52" i="2"/>
  <c r="AC52" i="2" s="1"/>
  <c r="O53" i="3"/>
  <c r="P53" i="3" s="1"/>
  <c r="Q53" i="3" s="1"/>
  <c r="AB53" i="2"/>
  <c r="AC53" i="2" s="1"/>
  <c r="O42" i="3"/>
  <c r="P42" i="3" s="1"/>
  <c r="Q42" i="3" s="1"/>
  <c r="AB42" i="2"/>
  <c r="AB63" i="2"/>
  <c r="O63" i="3"/>
  <c r="P63" i="3" s="1"/>
  <c r="Q63" i="3" s="1"/>
  <c r="O48" i="3"/>
  <c r="P48" i="3" s="1"/>
  <c r="Q48" i="3" s="1"/>
  <c r="AB48" i="2"/>
  <c r="AB69" i="2"/>
  <c r="AC69" i="2" s="1"/>
  <c r="O69" i="3"/>
  <c r="P69" i="3" s="1"/>
  <c r="Q69" i="3" s="1"/>
  <c r="AB41" i="2"/>
  <c r="O41" i="3"/>
  <c r="P41" i="3" s="1"/>
  <c r="Q41" i="3" s="1"/>
  <c r="AB70" i="2"/>
  <c r="AC70" i="2" s="1"/>
  <c r="O70" i="3"/>
  <c r="P70" i="3" s="1"/>
  <c r="Q70" i="3" s="1"/>
  <c r="AB59" i="2"/>
  <c r="AC59" i="2" s="1"/>
  <c r="O59" i="3"/>
  <c r="P59" i="3" s="1"/>
  <c r="Q59" i="3" s="1"/>
  <c r="AB71" i="2"/>
  <c r="O71" i="3"/>
  <c r="P71" i="3" s="1"/>
  <c r="Q71" i="3" s="1"/>
  <c r="AB31" i="2"/>
  <c r="AC31" i="2" s="1"/>
  <c r="O31" i="3"/>
  <c r="P31" i="3" s="1"/>
  <c r="Q31" i="3" s="1"/>
  <c r="O43" i="3"/>
  <c r="P43" i="3" s="1"/>
  <c r="Q43" i="3" s="1"/>
  <c r="AB43" i="2"/>
  <c r="AB60" i="2"/>
  <c r="O60" i="3"/>
  <c r="P60" i="3" s="1"/>
  <c r="Q60" i="3" s="1"/>
  <c r="AB72" i="2"/>
  <c r="AC72" i="2" s="1"/>
  <c r="O72" i="3"/>
  <c r="P72" i="3" s="1"/>
  <c r="Q72" i="3" s="1"/>
  <c r="O33" i="3"/>
  <c r="P33" i="3" s="1"/>
  <c r="Q33" i="3" s="1"/>
  <c r="AB62" i="2"/>
  <c r="O62" i="3"/>
  <c r="P62" i="3" s="1"/>
  <c r="Q62" i="3" s="1"/>
  <c r="O34" i="3"/>
  <c r="P34" i="3" s="1"/>
  <c r="Q34" i="3" s="1"/>
  <c r="O47" i="3"/>
  <c r="P47" i="3" s="1"/>
  <c r="Q47" i="3" s="1"/>
  <c r="AB47" i="2"/>
  <c r="AB65" i="2"/>
  <c r="O65" i="3"/>
  <c r="P65" i="3" s="1"/>
  <c r="Q65" i="3" s="1"/>
  <c r="O37" i="3"/>
  <c r="P37" i="3" s="1"/>
  <c r="Q37" i="3" s="1"/>
  <c r="AB66" i="2"/>
  <c r="AC66" i="2" s="1"/>
  <c r="O66" i="3"/>
  <c r="P66" i="3" s="1"/>
  <c r="Q66" i="3" s="1"/>
  <c r="O39" i="3"/>
  <c r="P39" i="3" s="1"/>
  <c r="Q39" i="3" s="1"/>
  <c r="AB39" i="2"/>
  <c r="AC39" i="2" s="1"/>
  <c r="AB68" i="2"/>
  <c r="AC68" i="2" s="1"/>
  <c r="O68" i="3"/>
  <c r="P68" i="3" s="1"/>
  <c r="Q68" i="3" s="1"/>
  <c r="O40" i="3"/>
  <c r="P40" i="3" s="1"/>
  <c r="Q40" i="3" s="1"/>
  <c r="AB40" i="2"/>
  <c r="O44" i="3"/>
  <c r="P44" i="3" s="1"/>
  <c r="Q44" i="3" s="1"/>
  <c r="AB44" i="2"/>
  <c r="AB61" i="2"/>
  <c r="AC61" i="2" s="1"/>
  <c r="O61" i="3"/>
  <c r="P61" i="3" s="1"/>
  <c r="Q61" i="3" s="1"/>
  <c r="AB73" i="2"/>
  <c r="AC73" i="2" s="1"/>
  <c r="O73" i="3"/>
  <c r="P73" i="3" s="1"/>
  <c r="Q73" i="3" s="1"/>
  <c r="AB74" i="2"/>
  <c r="O74" i="3"/>
  <c r="P74" i="3" s="1"/>
  <c r="Q74" i="3" s="1"/>
  <c r="AB75" i="2"/>
  <c r="AC75" i="2" s="1"/>
  <c r="O75" i="3"/>
  <c r="P75" i="3" s="1"/>
  <c r="Q75" i="3" s="1"/>
  <c r="AB64" i="2"/>
  <c r="O64" i="3"/>
  <c r="P64" i="3" s="1"/>
  <c r="Q64" i="3" s="1"/>
  <c r="O36" i="3"/>
  <c r="P36" i="3" s="1"/>
  <c r="Q36" i="3" s="1"/>
  <c r="AB36" i="2"/>
  <c r="AC74" i="2"/>
  <c r="AC67" i="2"/>
  <c r="AC65" i="2"/>
  <c r="AC64" i="2"/>
  <c r="AC48" i="2"/>
  <c r="AC47" i="2"/>
  <c r="AC44" i="2"/>
  <c r="AC43" i="2"/>
  <c r="AC42" i="2"/>
  <c r="AC41" i="2"/>
  <c r="AC40" i="2"/>
  <c r="AC71" i="2"/>
  <c r="AC63" i="2"/>
  <c r="AC62" i="2"/>
  <c r="AC60" i="2"/>
  <c r="K46" i="2"/>
  <c r="AB46" i="2" s="1"/>
  <c r="K45" i="2"/>
  <c r="AB45" i="2" s="1"/>
  <c r="AC38" i="2"/>
  <c r="AC36" i="2"/>
  <c r="J34" i="2"/>
  <c r="J33" i="2"/>
  <c r="J32" i="2"/>
  <c r="AB49" i="2" l="1"/>
  <c r="AB50" i="2"/>
  <c r="K33" i="2"/>
  <c r="AC46" i="2"/>
  <c r="AC45" i="2"/>
  <c r="AB51" i="2"/>
  <c r="K32" i="2"/>
  <c r="K37" i="2"/>
  <c r="K34" i="2"/>
  <c r="L34" i="2" s="1"/>
  <c r="L37" i="2" l="1"/>
  <c r="AB34" i="2"/>
  <c r="AC35" i="2"/>
  <c r="L33" i="2"/>
  <c r="AC49" i="2"/>
  <c r="AC51" i="2"/>
  <c r="L32" i="2"/>
  <c r="M34" i="2"/>
  <c r="AC50" i="2"/>
  <c r="AC34" i="2" l="1"/>
  <c r="M37" i="2"/>
  <c r="AB37" i="2" s="1"/>
  <c r="AC37" i="2" s="1"/>
  <c r="M33" i="2"/>
  <c r="AB33" i="2"/>
  <c r="AC33" i="2" s="1"/>
  <c r="M32" i="2"/>
  <c r="AB32" i="2" s="1"/>
  <c r="AC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tc={4808301E-1C77-461C-AC2A-BBBBC1CB1C50}</author>
    <author>tc={E0A9B8CE-743B-406B-A330-8C4314010E1B}</author>
    <author>tc={1B1AD4F7-A574-469B-884E-56134F8DAD99}</author>
    <author>tc={F86C7458-13A0-4336-87F0-4B5A87714827}</author>
    <author>tc={AA184752-AD74-4AED-8377-D2EC58A91AEB}</author>
    <author>tc={605BB83E-BECF-495B-93E4-6275390FC6CF}</author>
    <author>tc={A62B3B2C-ADA4-4CC0-8E13-2468A6243B19}</author>
    <author>tc={9B2C6877-FE35-4E08-9ECD-23C700EB5EE7}</author>
    <author>tc={166082A1-A69D-4253-B0C9-121C7D1A3404}</author>
    <author>tc={5B4719E7-B9FF-4BA1-B87F-764D9F256DFF}</author>
    <author>tc={20C31722-AD27-401B-8586-7FC270193CD9}</author>
    <author>tc={A6FEF8AA-BD79-423F-91DB-FF2B7A54D6A2}</author>
  </authors>
  <commentList>
    <comment ref="E37" authorId="0" shapeId="0" xr:uid="{4808301E-1C77-461C-AC2A-BBBBC1CB1C5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7" authorId="1" shapeId="0" xr:uid="{E0A9B8CE-743B-406B-A330-8C4314010E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7" authorId="2" shapeId="0" xr:uid="{1B1AD4F7-A574-469B-884E-56134F8DAD9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49" authorId="3" shapeId="0" xr:uid="{F86C7458-13A0-4336-87F0-4B5A877148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49" authorId="4" shapeId="0" xr:uid="{AA184752-AD74-4AED-8377-D2EC58A91AE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49" authorId="5" shapeId="0" xr:uid="{605BB83E-BECF-495B-93E4-6275390FC6C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49" authorId="6" shapeId="0" xr:uid="{A62B3B2C-ADA4-4CC0-8E13-2468A6243B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0" authorId="7" shapeId="0" xr:uid="{9B2C6877-FE35-4E08-9ECD-23C700EB5E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0" authorId="8" shapeId="0" xr:uid="{166082A1-A69D-4253-B0C9-121C7D1A34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0" authorId="9" shapeId="0" xr:uid="{5B4719E7-B9FF-4BA1-B87F-764D9F256D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0" authorId="10" shapeId="0" xr:uid="{20C31722-AD27-401B-8586-7FC270193CD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1" authorId="11" shapeId="0" xr:uid="{A6FEF8AA-BD79-423F-91DB-FF2B7A54D6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sharedStrings.xml><?xml version="1.0" encoding="utf-8"?>
<sst xmlns="http://schemas.openxmlformats.org/spreadsheetml/2006/main" count="244" uniqueCount="125">
  <si>
    <t>Sector</t>
  </si>
  <si>
    <t>Producto</t>
  </si>
  <si>
    <t>Descripción del Producto</t>
  </si>
  <si>
    <t>Vivienda</t>
  </si>
  <si>
    <t>Soluciones de vivienda*</t>
  </si>
  <si>
    <t xml:space="preserve">Agua y Saneamiento Básico </t>
  </si>
  <si>
    <t>Sistemas de Acueducto</t>
  </si>
  <si>
    <t>Sistemas de Alcantarillado</t>
  </si>
  <si>
    <t>Rehabilitación y adecuación de redes de alcantarillado afectados por el fenómeno de La Niña 2010 - 2011</t>
  </si>
  <si>
    <t>Salud</t>
  </si>
  <si>
    <t>IPS</t>
  </si>
  <si>
    <t>Transporte</t>
  </si>
  <si>
    <t>Sitios críticos</t>
  </si>
  <si>
    <t>Reconstrucción y adecuación de tramos de vía afectados por el fenómeno de La Niña 2010 - 2011</t>
  </si>
  <si>
    <t>Estructuraciones integrales</t>
  </si>
  <si>
    <t>Educación</t>
  </si>
  <si>
    <t>Instituciones educativas</t>
  </si>
  <si>
    <t>Reactivación económica</t>
  </si>
  <si>
    <t>Alianzas productivas apoyadas</t>
  </si>
  <si>
    <t>Apoyo a organizaciones de pequeños ´productores vinculados a un sistema productivo con un acuerdo comercial para su producción quienes vieron su actividad económica por el fenómeno de La Niña 2010 - 2011</t>
  </si>
  <si>
    <t xml:space="preserve">Oportunidades rurales </t>
  </si>
  <si>
    <t>Apoyo a Organizaciones  de pequeños productores vinculados a un negocio rural, cuya actividad económica se vio afectada por el fenómeno de La Niña 2010 - 2011</t>
  </si>
  <si>
    <t>Distritos de adecuación de tierras (Estudios de factibilidad)</t>
  </si>
  <si>
    <t>El objeto del proyecto consiste en la elaboración de los estudios de factibilidad de cuatro distritos de adecuación de tierras</t>
  </si>
  <si>
    <t xml:space="preserve">Proyectos reactivar </t>
  </si>
  <si>
    <t>Estructurar y poner en ejecución proyectos regionales de Reactivación Económica, para grupos asociativos de pequeños productores o propenderá por su asociación, estos grupos de personas vieron afectada su actividad económica por el fenómeno de La Niña 2010 - 2011</t>
  </si>
  <si>
    <t>Sistemas de producción adaptadas al cambio climático identificados</t>
  </si>
  <si>
    <t>Sistemas de producción adaptadas al cambio climático entregados</t>
  </si>
  <si>
    <t>Acompañamiento Proyectos Reactivar urbanos o mixtos entregado</t>
  </si>
  <si>
    <t>Medio ambiente</t>
  </si>
  <si>
    <t>Estaciones hidrometeorológicas nuevas</t>
  </si>
  <si>
    <t>Estaciones hidrometeorológicas repotenciadas</t>
  </si>
  <si>
    <t>Hectáreas recuperadas / reforestadas</t>
  </si>
  <si>
    <t>Macroproyecto</t>
  </si>
  <si>
    <t>Gramalote</t>
  </si>
  <si>
    <t>Canal del Dique</t>
  </si>
  <si>
    <t>Jarillón de Cali</t>
  </si>
  <si>
    <t>La Mojana</t>
  </si>
  <si>
    <t>Rio Fonce</t>
  </si>
  <si>
    <t>Metros Lineales de Dique *</t>
  </si>
  <si>
    <t>Protección Centros Poblados y Tramos Viales</t>
  </si>
  <si>
    <t>Familias, Beneficiadas con Iniciativas Productivas</t>
  </si>
  <si>
    <t>Personas Formadas en Gestión del Riesgo</t>
  </si>
  <si>
    <t>Viviendas</t>
  </si>
  <si>
    <t>Acueducto y Saneamiento Básico</t>
  </si>
  <si>
    <t>Reforzamiento de Jarillón (Kms)</t>
  </si>
  <si>
    <t>Soluciones de Vivienda</t>
  </si>
  <si>
    <t>Infraestructura Vital PTAP</t>
  </si>
  <si>
    <t>Estructuración Integral para los proyectos de corredores viales afectados por los eventos derivados del Fenómeno de La Niña 2010-2011</t>
  </si>
  <si>
    <t xml:space="preserve">Protección de 10 centros poblados, 2 tramos viales y un (1) punto crítico con 52.506 metros lineales de dique en los departamentos de Atlántico y Bolívar. </t>
  </si>
  <si>
    <t>Realizar aporte y/o acompañamiento a familias para iniciativas productivas en el corregimiento de Gambote, Departamento de Bolívar.</t>
  </si>
  <si>
    <t xml:space="preserve">Formación en gestión del riesgo a personas del área de influencia del macroproyecto de Canal del dique. </t>
  </si>
  <si>
    <t>Construcción de 8,8 Km + puentes vehiculares</t>
  </si>
  <si>
    <t>Diseño, Construcción y Entrega viviendas para la población del municipio de Gramalote  segmentada en 3 Tipologías: Tipo 1 - de una planta y 69,03 m2, Tipo 2 - de 2 plantas y 73,29 m2, Tipo 5 - de 1 planta y 77,41 m2, Tipo 6 - de 3 plantas y 73,01 m2</t>
  </si>
  <si>
    <t>Diseño, construcción y entrega del realce y reforzamiento de jarillones y obras de protección de orillas</t>
  </si>
  <si>
    <t>Entrega de soluciones de vivienda en el marco del componente de Reducción de la Vulnerabilidad Física y Social frente a la Amenaza por Inundación - Oferta de vivienda</t>
  </si>
  <si>
    <t>POMCA actualizados</t>
  </si>
  <si>
    <t>POMCA formulados</t>
  </si>
  <si>
    <t>Insumos para la delimitación de páramos</t>
  </si>
  <si>
    <t>Insumos para la delimitación de ecosistemas estratégicos (páramos) en las cuencas priorizadas para su protección y para la regulación hídrica como medida de prevención del riesgo</t>
  </si>
  <si>
    <t>Insumos para la delimitación de humedales pilotos</t>
  </si>
  <si>
    <t>Insumos para la delimitación de ecosistemas estratégicos (humedales pilotos) en las cuencas priorizadas para su protección y para la regulación hídrica como medida de prevención del riesgo</t>
  </si>
  <si>
    <t>Radares Meteorológicos</t>
  </si>
  <si>
    <t>Instalación y puesta en funcionamiento de Radares meteorológicos de apoyo al sistema de alertas tempranas del país como medida de reducción del riesgo en las cuencas priorizadas</t>
  </si>
  <si>
    <t>Herramienta de información entregada</t>
  </si>
  <si>
    <t>Diseño e implementación de una herramienta de información para la toma de decisiones en materia de ordenamiento ambiental del territorio</t>
  </si>
  <si>
    <t>Recuperar, rehabilitar y proteger 11.000 hectáreas en zonas prioritarias para la regulación y recarga hídrica, que contribuyan a prevenir y mitigar inundaciones, deslizamientos y avalanchas en territorios afectados por el fenómeno de la Niña 2010-2011</t>
  </si>
  <si>
    <t>AVANCE EN EL CUMPLIMIENTO DE LA POLITICA Y MISION DEL FONDO ADAPTACION</t>
  </si>
  <si>
    <t>AVANCE EN EL CUMPLIMIENTO DE LA POLITICA Y MISION DEL FONDO ADAPTACION - SECTORES</t>
  </si>
  <si>
    <t>AVANCE EN EL CUMPLIMIENTO DE LA POLITICA Y MISION DEL FONDO ADAPTACION - MACROPYOECTOS Y PROYECTO</t>
  </si>
  <si>
    <t>Año</t>
  </si>
  <si>
    <t xml:space="preserve">Porcentaje (%) Ejecutado </t>
  </si>
  <si>
    <t>Diseño y Construcción del sistema de acueducto incluyendo PTAR - PTAP, Desarenador, Captador, línea de conducción.</t>
  </si>
  <si>
    <t>Construcción de bordillos de vía, Construcción de muros de contención, Construcción de canal escalonado con tanque amortiguador, Construcción Estructura de Descole Sumidero Transversal.</t>
  </si>
  <si>
    <t>AVANCE PONDERADO FONDO ADAPTACION</t>
  </si>
  <si>
    <t xml:space="preserve">Meta Total </t>
  </si>
  <si>
    <t>Instituciones Prestadoras de Salud - IPS  que fueron  afectadas por el fenómeno de La Niña 2010 - 2011 entregadas y dotadas</t>
  </si>
  <si>
    <t xml:space="preserve">Rehabilitación de sistemas de acueducto afectados por el fenómeno de La Niña 2010 - 2011 </t>
  </si>
  <si>
    <t>Sedes educativas afectadas por el fenómeno de la niña 2010-2011, entregadas y dotadas</t>
  </si>
  <si>
    <t xml:space="preserve">Asistencia técnica agropecuaria con información agroclimática y tecnologías que ayuden a disminuir el riesgo agroclimático para 54 sistemas de cultivo en zonas afectadas por la “ola invernal 2010-2011” </t>
  </si>
  <si>
    <t>Asistencia técnica agropecuaria con información agroclimática y tecnologías que ayuden a disminuir el riesgo agroclimático para 54 sistemas de cultivo en zonas afectadas por la “ola invernal 2010-2011”.</t>
  </si>
  <si>
    <t>Planes de Ordenación y Manejo de Cuencas Hidrográficas (POMCA), Formulados</t>
  </si>
  <si>
    <t>Planes de Ordenación y Manejo de Cuencas Hidrográficas (POMCA), Actualizados</t>
  </si>
  <si>
    <t>Instalación y puesta en funcionamiento de nuevas Estaciones Hidrometeorológicas  de apoyo al sistema de alertas tempranas del país.</t>
  </si>
  <si>
    <t>Instalación y puesta en funcionamiento para repotenciar Estaciones Hidrometeorológicas de apoyo al sistema de alertas tempranas del país.</t>
  </si>
  <si>
    <t xml:space="preserve">Consiste en el desarrollo de actividades para estructurar, implementar, acompañar y realizar la asistencia técnica de los emprendimientos y proyectos productivos en los municipios de Gramalote y Mompox. </t>
  </si>
  <si>
    <t xml:space="preserve">Protección de 10 centros poblados, 2 tramos viales y un (1) punto crítico en los departamentos de Atlántico y Bolívar. </t>
  </si>
  <si>
    <t>Urbanismo Fases I y II</t>
  </si>
  <si>
    <t>Diseño y Construcción de las obras de urbanismo del municipio</t>
  </si>
  <si>
    <t>Tramos de Vía I y II</t>
  </si>
  <si>
    <t xml:space="preserve">Estabilizaciones de deslizamientos </t>
  </si>
  <si>
    <t>Puentes</t>
  </si>
  <si>
    <t>Construcción y/o refuerzo de 3 puentes vehiculares y 1 puentes peatonal</t>
  </si>
  <si>
    <t>Teniendo en cuenta la gran cantidad de Intervenciones realizadas por la Entidad, la diversidad y complejidad de las mismas y la de igual manera el valor de inversión de cada segmento, el Fondo Adaptación estableció una medición de avance porcentual global, la cual tiene encuentra los factores mencionados de inversión y cantidad de productos, asignándoles una ponderación para la obtención del Avance Ponderado de la Entidad el cual se presenta  a continuación:</t>
  </si>
  <si>
    <t>Programas para el desarrollo socio-económico de la región de La Mojana</t>
  </si>
  <si>
    <t>Ejecución de estudios y diagnósticos tendientes a definir las soluciones, para atender la problemática histórica de la región de La Mojana, la identificación de flujos, caudales.</t>
  </si>
  <si>
    <t>Estudios y Estructuración del macroproyecto</t>
  </si>
  <si>
    <t xml:space="preserve">Ejecución de proyectos y programas de reactivación económica, y protección de las fuentes hídricas, para el mejoramiento de las condiciones socioeconómicas de los residentes en la región de la Mojana </t>
  </si>
  <si>
    <t xml:space="preserve">Viviendas entregadas a los beneficiarios afectados por el Fenómeno de la Niña 2010-2011 </t>
  </si>
  <si>
    <t>Equipamientos Municipales</t>
  </si>
  <si>
    <t>Centro administrativo Municipal (CAM) - Plaza Principal - Plaza de Mercado - Estación de Policía - Polideportivo - Casa del Campesino - Casa de la Cultura - Casa del Adulto Mayor</t>
  </si>
  <si>
    <t>Diseño, construcción y entrega de Obras de mitigación de riesgo por inundación para la PTAP Puerto Mallarino, PTAR Cañaveralejo, Repotenciación Estación de Bombeo Paso del Comercio</t>
  </si>
  <si>
    <t xml:space="preserve">Obras Civiles para la atención a damnificados de la Ola Invernal 2010 - 2011, Mitigación del Riesgo  y Adaptación al Cambio Climático </t>
  </si>
  <si>
    <t>RESULTADOS DEL FONDO ADAPTACIÓN</t>
  </si>
  <si>
    <t>Las metas de la Fondo Adaptación están encaminadas a la Reconstrucción (Estudios de Vulnerabilidad, Diseños, Construcción y Entrega) de la infraestructura afectada a raíz del Fenómeno de La Niña 2010 - 2011,  las Intervenciones que ejecuta la Entidad pertenecen a los sectores de Acueducto y Saneamiento Básico, Educación, Medio Ambiente, Reactivación Económica, Salud, Transporte y Vivienda, los Macroproyectos Canal del Dique, Gramalote, Jarillón de Cali, La Mojana y el proyecto Rio Fonce.</t>
  </si>
  <si>
    <t>Obras civiles para la Mitigación del Riesgo y la Adaptación al cambio Climático como los muros de protección de San Marcos y  Magangué, la construcción de obras complementarias en el reasentamiento de Doña Ana en San Benito Abad y la construcción del SENA en Majagual</t>
  </si>
  <si>
    <t xml:space="preserve">A continuación se muestra año a año los resultados de los productos entregados a las comunidades y/o beneficarios en cada uno de los sectores y macroproyectos: </t>
  </si>
  <si>
    <t>Avance
entregado Enero 2022</t>
  </si>
  <si>
    <t>Avance
entregado Febrero 2022</t>
  </si>
  <si>
    <t>Avance
entregado Marzo 2022</t>
  </si>
  <si>
    <t>Avance
entregado Abril 2022</t>
  </si>
  <si>
    <t>Avance
entregado Mayo 2022</t>
  </si>
  <si>
    <t>Avance
entregado Junio 2022</t>
  </si>
  <si>
    <t>Avance
entregado Julio 2022</t>
  </si>
  <si>
    <t>Avance
entregado Agosto 2022</t>
  </si>
  <si>
    <t>Avance
entregado Septiembre 2022</t>
  </si>
  <si>
    <t>Avance
entregado Octubre 2022</t>
  </si>
  <si>
    <t>Avance
entregado Noviembre 2022</t>
  </si>
  <si>
    <t>Avance
entregado Diciembre 2022</t>
  </si>
  <si>
    <t>Junio 
2022</t>
  </si>
  <si>
    <t>Entregado Acumulado Junio 2022</t>
  </si>
  <si>
    <t>Avance Acumulado Junio 2022 %</t>
  </si>
  <si>
    <t>Julio 
2022</t>
  </si>
  <si>
    <t>Entregado Acumulado Julio 2022</t>
  </si>
  <si>
    <t>Avance Acumulado Julio 2022 %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</si>
</sst>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3" fontId="5" fillId="6" borderId="6" xfId="0" applyNumberFormat="1" applyFont="1" applyFill="1" applyBorder="1" applyAlignment="1">
      <alignment horizontal="center" vertical="center"/>
    </xf>
    <xf numFmtId="0" fontId="0" fillId="7" borderId="5" xfId="0" applyFill="1" applyBorder="1" applyAlignment="1" applyProtection="1">
      <alignment horizontal="left" vertical="center" wrapText="1"/>
      <protection locked="0"/>
    </xf>
    <xf numFmtId="3" fontId="0" fillId="7" borderId="5" xfId="0" applyNumberFormat="1" applyFill="1" applyBorder="1" applyAlignment="1" applyProtection="1">
      <alignment horizontal="center" vertical="center"/>
      <protection locked="0"/>
    </xf>
    <xf numFmtId="3" fontId="5" fillId="7" borderId="5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 applyAlignment="1">
      <alignment horizontal="center" vertical="center"/>
    </xf>
    <xf numFmtId="3" fontId="5" fillId="7" borderId="8" xfId="0" applyNumberFormat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5" fillId="6" borderId="8" xfId="0" applyNumberFormat="1" applyFont="1" applyFill="1" applyBorder="1" applyAlignment="1">
      <alignment horizontal="center" vertical="center"/>
    </xf>
    <xf numFmtId="0" fontId="0" fillId="6" borderId="5" xfId="0" applyFill="1" applyBorder="1" applyAlignment="1" applyProtection="1">
      <alignment vertical="center" wrapText="1"/>
      <protection locked="0"/>
    </xf>
    <xf numFmtId="0" fontId="5" fillId="7" borderId="5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Alignment="1">
      <alignment horizontal="center" vertical="center"/>
    </xf>
    <xf numFmtId="0" fontId="5" fillId="7" borderId="5" xfId="0" applyFont="1" applyFill="1" applyBorder="1" applyAlignment="1" applyProtection="1">
      <alignment horizontal="justify" vertical="center" wrapText="1"/>
      <protection locked="0"/>
    </xf>
    <xf numFmtId="0" fontId="0" fillId="6" borderId="5" xfId="0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vertical="center" wrapText="1"/>
    </xf>
    <xf numFmtId="17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5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3" fontId="2" fillId="4" borderId="15" xfId="0" applyNumberFormat="1" applyFont="1" applyFill="1" applyBorder="1" applyAlignment="1">
      <alignment horizontal="center" vertical="center" wrapText="1"/>
    </xf>
    <xf numFmtId="0" fontId="5" fillId="7" borderId="17" xfId="0" applyFont="1" applyFill="1" applyBorder="1" applyAlignment="1" applyProtection="1">
      <alignment vertical="center" wrapText="1"/>
      <protection locked="0"/>
    </xf>
    <xf numFmtId="0" fontId="5" fillId="7" borderId="17" xfId="0" applyFont="1" applyFill="1" applyBorder="1" applyAlignment="1" applyProtection="1">
      <alignment horizontal="justify" vertical="center" wrapText="1"/>
      <protection locked="0"/>
    </xf>
    <xf numFmtId="3" fontId="5" fillId="7" borderId="17" xfId="0" applyNumberFormat="1" applyFont="1" applyFill="1" applyBorder="1" applyAlignment="1">
      <alignment horizontal="center" vertical="center"/>
    </xf>
    <xf numFmtId="3" fontId="5" fillId="7" borderId="18" xfId="0" applyNumberFormat="1" applyFont="1" applyFill="1" applyBorder="1" applyAlignment="1">
      <alignment horizontal="center" vertical="center"/>
    </xf>
    <xf numFmtId="3" fontId="5" fillId="7" borderId="19" xfId="0" applyNumberFormat="1" applyFont="1" applyFill="1" applyBorder="1" applyAlignment="1">
      <alignment horizontal="center" vertical="center"/>
    </xf>
    <xf numFmtId="9" fontId="5" fillId="7" borderId="23" xfId="1" applyFont="1" applyFill="1" applyBorder="1" applyAlignment="1" applyProtection="1">
      <alignment horizontal="center" vertical="center"/>
    </xf>
    <xf numFmtId="9" fontId="5" fillId="7" borderId="24" xfId="1" applyFont="1" applyFill="1" applyBorder="1" applyAlignment="1" applyProtection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9" fontId="0" fillId="0" borderId="27" xfId="1" applyFont="1" applyBorder="1" applyAlignment="1">
      <alignment horizontal="center" vertical="center"/>
    </xf>
    <xf numFmtId="9" fontId="0" fillId="0" borderId="23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17" xfId="0" applyFill="1" applyBorder="1" applyAlignment="1" applyProtection="1">
      <alignment horizontal="left" vertical="center" wrapText="1"/>
      <protection locked="0"/>
    </xf>
    <xf numFmtId="3" fontId="0" fillId="7" borderId="17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>
      <alignment horizontal="center" vertical="center"/>
    </xf>
    <xf numFmtId="3" fontId="5" fillId="6" borderId="21" xfId="0" applyNumberFormat="1" applyFont="1" applyFill="1" applyBorder="1" applyAlignment="1">
      <alignment horizontal="center" vertical="center"/>
    </xf>
    <xf numFmtId="0" fontId="5" fillId="7" borderId="20" xfId="0" applyFont="1" applyFill="1" applyBorder="1" applyAlignment="1" applyProtection="1">
      <alignment vertical="center" wrapText="1"/>
      <protection locked="0"/>
    </xf>
    <xf numFmtId="0" fontId="5" fillId="7" borderId="20" xfId="0" applyFont="1" applyFill="1" applyBorder="1" applyAlignment="1" applyProtection="1">
      <alignment horizontal="justify" vertical="center" wrapText="1"/>
      <protection locked="0"/>
    </xf>
    <xf numFmtId="3" fontId="5" fillId="7" borderId="20" xfId="0" applyNumberFormat="1" applyFont="1" applyFill="1" applyBorder="1" applyAlignment="1" applyProtection="1">
      <alignment horizontal="center" vertical="center"/>
      <protection locked="0"/>
    </xf>
    <xf numFmtId="3" fontId="5" fillId="7" borderId="20" xfId="0" applyNumberFormat="1" applyFont="1" applyFill="1" applyBorder="1" applyAlignment="1">
      <alignment horizontal="center" vertical="center"/>
    </xf>
    <xf numFmtId="3" fontId="5" fillId="7" borderId="22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9" fontId="5" fillId="6" borderId="25" xfId="1" applyFont="1" applyFill="1" applyBorder="1" applyAlignment="1" applyProtection="1">
      <alignment horizontal="center" vertical="center"/>
    </xf>
    <xf numFmtId="9" fontId="5" fillId="6" borderId="24" xfId="1" applyFont="1" applyFill="1" applyBorder="1" applyAlignment="1" applyProtection="1">
      <alignment horizontal="center" vertical="center"/>
    </xf>
    <xf numFmtId="9" fontId="5" fillId="7" borderId="25" xfId="1" applyFont="1" applyFill="1" applyBorder="1" applyAlignment="1" applyProtection="1">
      <alignment horizontal="center" vertical="center"/>
    </xf>
    <xf numFmtId="3" fontId="0" fillId="0" borderId="0" xfId="0" applyNumberFormat="1" applyAlignment="1" applyProtection="1">
      <alignment vertical="center"/>
      <protection locked="0"/>
    </xf>
    <xf numFmtId="0" fontId="0" fillId="8" borderId="5" xfId="0" applyFill="1" applyBorder="1" applyAlignment="1">
      <alignment horizontal="center" vertical="center"/>
    </xf>
    <xf numFmtId="164" fontId="0" fillId="8" borderId="5" xfId="0" applyNumberFormat="1" applyFill="1" applyBorder="1" applyAlignment="1">
      <alignment horizontal="center" vertical="center" wrapText="1"/>
    </xf>
    <xf numFmtId="164" fontId="0" fillId="8" borderId="5" xfId="1" applyNumberFormat="1" applyFont="1" applyFill="1" applyBorder="1" applyAlignment="1">
      <alignment horizontal="center" vertical="center" wrapText="1"/>
    </xf>
    <xf numFmtId="0" fontId="0" fillId="6" borderId="0" xfId="0" applyFill="1" applyAlignment="1" applyProtection="1">
      <alignment vertical="center" wrapText="1"/>
      <protection locked="0"/>
    </xf>
    <xf numFmtId="0" fontId="0" fillId="6" borderId="0" xfId="0" applyFill="1" applyAlignment="1">
      <alignment vertical="center"/>
    </xf>
    <xf numFmtId="0" fontId="5" fillId="6" borderId="5" xfId="0" applyFont="1" applyFill="1" applyBorder="1" applyAlignment="1" applyProtection="1">
      <alignment vertical="center" wrapText="1"/>
      <protection locked="0"/>
    </xf>
    <xf numFmtId="0" fontId="5" fillId="6" borderId="17" xfId="0" applyFont="1" applyFill="1" applyBorder="1" applyAlignment="1" applyProtection="1">
      <alignment vertical="center" wrapText="1"/>
      <protection locked="0"/>
    </xf>
    <xf numFmtId="2" fontId="0" fillId="0" borderId="17" xfId="0" applyNumberFormat="1" applyBorder="1" applyAlignment="1">
      <alignment horizontal="center" vertical="center"/>
    </xf>
    <xf numFmtId="0" fontId="0" fillId="6" borderId="20" xfId="0" applyFill="1" applyBorder="1" applyAlignment="1" applyProtection="1">
      <alignment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6" borderId="13" xfId="0" applyFill="1" applyBorder="1" applyAlignment="1" applyProtection="1">
      <alignment vertical="center" wrapText="1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5" fillId="6" borderId="13" xfId="0" applyNumberFormat="1" applyFont="1" applyFill="1" applyBorder="1" applyAlignment="1">
      <alignment horizontal="center" vertical="center"/>
    </xf>
    <xf numFmtId="3" fontId="5" fillId="6" borderId="32" xfId="0" applyNumberFormat="1" applyFont="1" applyFill="1" applyBorder="1" applyAlignment="1">
      <alignment horizontal="center" vertical="center"/>
    </xf>
    <xf numFmtId="3" fontId="5" fillId="6" borderId="15" xfId="0" applyNumberFormat="1" applyFont="1" applyFill="1" applyBorder="1" applyAlignment="1">
      <alignment horizontal="center" vertical="center"/>
    </xf>
    <xf numFmtId="9" fontId="5" fillId="6" borderId="33" xfId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0" fillId="7" borderId="20" xfId="0" applyFill="1" applyBorder="1" applyAlignment="1" applyProtection="1">
      <alignment horizontal="left" vertical="center" wrapText="1"/>
      <protection locked="0"/>
    </xf>
    <xf numFmtId="3" fontId="0" fillId="7" borderId="20" xfId="0" applyNumberFormat="1" applyFill="1" applyBorder="1" applyAlignment="1" applyProtection="1">
      <alignment horizontal="center" vertical="center"/>
      <protection locked="0"/>
    </xf>
    <xf numFmtId="9" fontId="5" fillId="7" borderId="38" xfId="1" applyFont="1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justify" vertical="center" wrapText="1"/>
      <protection locked="0"/>
    </xf>
    <xf numFmtId="3" fontId="5" fillId="7" borderId="17" xfId="0" applyNumberFormat="1" applyFont="1" applyFill="1" applyBorder="1" applyAlignment="1" applyProtection="1">
      <alignment horizontal="center" vertical="center"/>
      <protection locked="0"/>
    </xf>
    <xf numFmtId="3" fontId="5" fillId="7" borderId="5" xfId="0" applyNumberFormat="1" applyFont="1" applyFill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>
      <alignment horizontal="center" vertical="center"/>
    </xf>
    <xf numFmtId="9" fontId="5" fillId="7" borderId="39" xfId="1" applyFont="1" applyFill="1" applyBorder="1" applyAlignment="1" applyProtection="1">
      <alignment horizontal="center" vertical="center"/>
    </xf>
    <xf numFmtId="9" fontId="0" fillId="0" borderId="38" xfId="1" applyFont="1" applyBorder="1" applyAlignment="1">
      <alignment horizontal="center" vertical="center"/>
    </xf>
    <xf numFmtId="9" fontId="0" fillId="0" borderId="40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5" fillId="6" borderId="14" xfId="0" applyFont="1" applyFill="1" applyBorder="1" applyAlignment="1" applyProtection="1">
      <alignment vertical="center" wrapText="1"/>
      <protection locked="0"/>
    </xf>
    <xf numFmtId="0" fontId="0" fillId="6" borderId="14" xfId="0" applyFill="1" applyBorder="1" applyAlignment="1" applyProtection="1">
      <alignment vertical="center" wrapText="1"/>
      <protection locked="0"/>
    </xf>
    <xf numFmtId="3" fontId="5" fillId="0" borderId="14" xfId="0" applyNumberFormat="1" applyFont="1" applyBorder="1" applyAlignment="1">
      <alignment horizontal="center" vertical="center"/>
    </xf>
    <xf numFmtId="0" fontId="0" fillId="6" borderId="34" xfId="0" applyFill="1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3" fontId="5" fillId="0" borderId="34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9" fontId="0" fillId="0" borderId="37" xfId="1" applyFont="1" applyBorder="1" applyAlignment="1">
      <alignment horizontal="center" vertical="center"/>
    </xf>
    <xf numFmtId="0" fontId="0" fillId="6" borderId="34" xfId="0" applyFill="1" applyBorder="1" applyAlignment="1" applyProtection="1">
      <alignment horizontal="justify" vertical="center" wrapText="1"/>
      <protection locked="0"/>
    </xf>
    <xf numFmtId="3" fontId="5" fillId="0" borderId="34" xfId="0" applyNumberFormat="1" applyFont="1" applyBorder="1" applyAlignment="1" applyProtection="1">
      <alignment horizontal="center" vertical="center"/>
      <protection locked="0"/>
    </xf>
    <xf numFmtId="3" fontId="5" fillId="6" borderId="36" xfId="0" applyNumberFormat="1" applyFont="1" applyFill="1" applyBorder="1" applyAlignment="1">
      <alignment horizontal="center" vertical="center"/>
    </xf>
    <xf numFmtId="9" fontId="5" fillId="6" borderId="37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7" fontId="0" fillId="8" borderId="5" xfId="0" applyNumberForma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7" borderId="16" xfId="0" applyFont="1" applyFill="1" applyBorder="1" applyAlignment="1" applyProtection="1">
      <alignment horizontal="left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7" borderId="16" xfId="0" applyFont="1" applyFill="1" applyBorder="1" applyAlignment="1" applyProtection="1">
      <alignment horizontal="left" vertical="center"/>
      <protection locked="0"/>
    </xf>
    <xf numFmtId="0" fontId="3" fillId="7" borderId="11" xfId="0" applyFont="1" applyFill="1" applyBorder="1" applyAlignment="1" applyProtection="1">
      <alignment horizontal="left" vertical="center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center" vertical="center" wrapText="1"/>
      <protection locked="0"/>
    </xf>
    <xf numFmtId="0" fontId="4" fillId="7" borderId="7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a Paola Perez Moron" id="{99902CF4-23BF-4306-9C0D-8E9A0D1A8A74}" userId="Maria Paola Perez Moron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7" dT="2022-08-04T14:22:33.03" personId="{99902CF4-23BF-4306-9C0D-8E9A0D1A8A74}" id="{4808301E-1C77-461C-AC2A-BBBBC1CB1C50}">
    <text>Meta presentada al Consejo Directivo Enero 2022</text>
  </threadedComment>
  <threadedComment ref="I37" dT="2022-08-04T14:23:51.37" personId="{99902CF4-23BF-4306-9C0D-8E9A0D1A8A74}" id="{E0A9B8CE-743B-406B-A330-8C4314010E1B}">
    <text>De acuerdo con la base de gerencia son 42</text>
  </threadedComment>
  <threadedComment ref="J37" dT="2022-08-04T14:24:15.53" personId="{99902CF4-23BF-4306-9C0D-8E9A0D1A8A74}" id="{1B1AD4F7-A574-469B-884E-56134F8DAD99}">
    <text>De acuerdo con la base de gerencia son 27</text>
  </threadedComment>
  <threadedComment ref="I49" dT="2022-08-04T14:27:45.88" personId="{99902CF4-23BF-4306-9C0D-8E9A0D1A8A74}" id="{F86C7458-13A0-4336-87F0-4B5A87714827}">
    <text>De acuerdo con el informe de gerencia para 2016 se entregaron 25</text>
  </threadedComment>
  <threadedComment ref="J49" dT="2022-08-04T14:28:16.21" personId="{99902CF4-23BF-4306-9C0D-8E9A0D1A8A74}" id="{AA184752-AD74-4AED-8377-D2EC58A91AEB}">
    <text>De acuerdo con el informe de gerencia para 2017 son 103</text>
  </threadedComment>
  <threadedComment ref="K49" dT="2022-08-04T14:28:53.85" personId="{99902CF4-23BF-4306-9C0D-8E9A0D1A8A74}" id="{605BB83E-BECF-495B-93E4-6275390FC6CF}">
    <text>De acuerdo con la base de gerencia para 2018 son 70</text>
  </threadedComment>
  <threadedComment ref="L49" dT="2022-08-04T14:29:24.67" personId="{99902CF4-23BF-4306-9C0D-8E9A0D1A8A74}" id="{A62B3B2C-ADA4-4CC0-8E13-2468A6243B19}">
    <text>De acuerdo con la base de geencia para 2019 son 12</text>
  </threadedComment>
  <threadedComment ref="I50" dT="2022-08-04T14:30:09.44" personId="{99902CF4-23BF-4306-9C0D-8E9A0D1A8A74}" id="{9B2C6877-FE35-4E08-9ECD-23C700EB5EE7}">
    <text>De acuerdo con la base de gerencia para 2016 son 115</text>
  </threadedComment>
  <threadedComment ref="J50" dT="2022-08-04T14:30:45.10" personId="{99902CF4-23BF-4306-9C0D-8E9A0D1A8A74}" id="{166082A1-A69D-4253-B0C9-121C7D1A3404}">
    <text>De acuerdo con la base de gerencia para 2017 son 95</text>
  </threadedComment>
  <threadedComment ref="K50" dT="2022-08-04T14:31:23.46" personId="{99902CF4-23BF-4306-9C0D-8E9A0D1A8A74}" id="{5B4719E7-B9FF-4BA1-B87F-764D9F256DFF}">
    <text>De acuerdo con la base de gerencia para 2018 son 34</text>
  </threadedComment>
  <threadedComment ref="L50" dT="2022-08-04T14:32:02.67" personId="{99902CF4-23BF-4306-9C0D-8E9A0D1A8A74}" id="{20C31722-AD27-401B-8586-7FC270193CD9}">
    <text>De acuerdo con la base de gerencia para 2019 son 3</text>
  </threadedComment>
  <threadedComment ref="K51" dT="2022-08-04T14:26:47.78" personId="{99902CF4-23BF-4306-9C0D-8E9A0D1A8A74}" id="{A6FEF8AA-BD79-423F-91DB-FF2B7A54D6A2}">
    <text>De acuerdo con la base de gerencia estas entregas corresponden a 2019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9D28-B0E0-4822-A180-E35013FBD898}">
  <sheetPr>
    <pageSetUpPr fitToPage="1"/>
  </sheetPr>
  <dimension ref="B1:R75"/>
  <sheetViews>
    <sheetView zoomScale="66" zoomScaleNormal="66" workbookViewId="0">
      <selection activeCell="C18" sqref="C18"/>
    </sheetView>
  </sheetViews>
  <sheetFormatPr baseColWidth="10" defaultRowHeight="15" x14ac:dyDescent="0.25"/>
  <cols>
    <col min="1" max="1" width="3.42578125" style="24" customWidth="1"/>
    <col min="2" max="2" width="33.5703125" style="24" customWidth="1"/>
    <col min="3" max="3" width="35" style="21" customWidth="1"/>
    <col min="4" max="4" width="38.28515625" style="21" customWidth="1"/>
    <col min="5" max="13" width="16.140625" style="62" customWidth="1"/>
    <col min="14" max="15" width="11.42578125" style="24" customWidth="1"/>
    <col min="16" max="16384" width="11.42578125" style="24"/>
  </cols>
  <sheetData>
    <row r="1" spans="2:18" x14ac:dyDescent="0.25">
      <c r="R1" s="21"/>
    </row>
    <row r="2" spans="2:18" x14ac:dyDescent="0.25">
      <c r="R2" s="21"/>
    </row>
    <row r="3" spans="2:18" ht="30" customHeight="1" x14ac:dyDescent="0.25">
      <c r="B3" s="144" t="s">
        <v>103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6"/>
      <c r="R3" s="21"/>
    </row>
    <row r="4" spans="2:18" x14ac:dyDescent="0.25">
      <c r="R4" s="21"/>
    </row>
    <row r="5" spans="2:18" ht="52.5" customHeight="1" x14ac:dyDescent="0.25">
      <c r="B5" s="123" t="s">
        <v>104</v>
      </c>
      <c r="C5" s="123"/>
      <c r="D5" s="123"/>
      <c r="E5" s="123"/>
      <c r="F5" s="123"/>
      <c r="G5" s="123"/>
      <c r="H5" s="123"/>
      <c r="I5" s="123"/>
      <c r="J5" s="123"/>
      <c r="K5" s="21"/>
      <c r="L5" s="21"/>
      <c r="M5" s="21"/>
      <c r="R5" s="21"/>
    </row>
    <row r="6" spans="2:18" x14ac:dyDescent="0.25">
      <c r="R6" s="21"/>
    </row>
    <row r="7" spans="2:18" ht="15" customHeight="1" x14ac:dyDescent="0.25">
      <c r="B7" s="147" t="s">
        <v>74</v>
      </c>
      <c r="C7" s="148"/>
      <c r="D7" s="148"/>
      <c r="E7" s="148"/>
      <c r="F7" s="148"/>
      <c r="G7" s="148"/>
      <c r="H7" s="148"/>
      <c r="I7" s="148"/>
      <c r="J7" s="148"/>
      <c r="K7" s="107"/>
      <c r="L7" s="107"/>
      <c r="M7" s="107"/>
      <c r="R7" s="21"/>
    </row>
    <row r="8" spans="2:18" x14ac:dyDescent="0.25">
      <c r="R8" s="21"/>
    </row>
    <row r="9" spans="2:18" ht="60.75" customHeight="1" x14ac:dyDescent="0.25">
      <c r="B9" s="123" t="s">
        <v>93</v>
      </c>
      <c r="C9" s="123"/>
      <c r="D9" s="123"/>
      <c r="E9" s="123"/>
      <c r="F9" s="123"/>
      <c r="G9" s="123"/>
      <c r="H9" s="123"/>
      <c r="I9" s="123"/>
      <c r="J9" s="123"/>
      <c r="K9" s="21"/>
      <c r="L9" s="21"/>
      <c r="M9" s="21"/>
      <c r="R9" s="21"/>
    </row>
    <row r="10" spans="2:18" x14ac:dyDescent="0.25">
      <c r="R10" s="21"/>
    </row>
    <row r="11" spans="2:18" x14ac:dyDescent="0.25">
      <c r="B11" s="109" t="s">
        <v>70</v>
      </c>
      <c r="C11" s="26" t="s">
        <v>71</v>
      </c>
      <c r="R11" s="21"/>
    </row>
    <row r="12" spans="2:18" x14ac:dyDescent="0.25">
      <c r="B12" s="63">
        <v>2016</v>
      </c>
      <c r="C12" s="64">
        <v>0.52800000000000002</v>
      </c>
      <c r="R12" s="21"/>
    </row>
    <row r="13" spans="2:18" x14ac:dyDescent="0.25">
      <c r="B13" s="63">
        <v>2017</v>
      </c>
      <c r="C13" s="64">
        <v>0.67</v>
      </c>
      <c r="R13" s="21"/>
    </row>
    <row r="14" spans="2:18" x14ac:dyDescent="0.25">
      <c r="B14" s="63">
        <v>2018</v>
      </c>
      <c r="C14" s="64">
        <v>0.76</v>
      </c>
      <c r="R14" s="21"/>
    </row>
    <row r="15" spans="2:18" x14ac:dyDescent="0.25">
      <c r="B15" s="63">
        <v>2019</v>
      </c>
      <c r="C15" s="64">
        <v>0.81200000000000006</v>
      </c>
      <c r="R15" s="21"/>
    </row>
    <row r="16" spans="2:18" x14ac:dyDescent="0.25">
      <c r="B16" s="63">
        <v>2020</v>
      </c>
      <c r="C16" s="64">
        <v>0.84299999999999997</v>
      </c>
      <c r="R16" s="21"/>
    </row>
    <row r="17" spans="2:18" x14ac:dyDescent="0.25">
      <c r="B17" s="63">
        <v>2021</v>
      </c>
      <c r="C17" s="65">
        <v>0.86599999999999999</v>
      </c>
      <c r="R17" s="21"/>
    </row>
    <row r="18" spans="2:18" x14ac:dyDescent="0.25">
      <c r="B18" s="120">
        <v>44743</v>
      </c>
      <c r="C18" s="65">
        <v>0.88100000000000001</v>
      </c>
      <c r="R18" s="21"/>
    </row>
    <row r="19" spans="2:18" ht="15" customHeight="1" x14ac:dyDescent="0.25">
      <c r="B19" s="149"/>
      <c r="C19" s="149"/>
      <c r="D19" s="149"/>
      <c r="E19" s="149"/>
      <c r="F19" s="149"/>
      <c r="G19" s="149"/>
      <c r="H19" s="149"/>
      <c r="I19" s="149"/>
      <c r="J19" s="149"/>
      <c r="K19" s="21"/>
      <c r="L19" s="21"/>
      <c r="M19" s="21"/>
      <c r="R19" s="21"/>
    </row>
    <row r="20" spans="2:18" x14ac:dyDescent="0.25">
      <c r="R20" s="21"/>
    </row>
    <row r="21" spans="2:18" x14ac:dyDescent="0.25">
      <c r="R21" s="21"/>
    </row>
    <row r="22" spans="2:18" x14ac:dyDescent="0.25">
      <c r="B22" s="124" t="s">
        <v>67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21"/>
    </row>
    <row r="23" spans="2:18" x14ac:dyDescent="0.25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21"/>
    </row>
    <row r="24" spans="2:18" x14ac:dyDescent="0.25">
      <c r="R24" s="21"/>
    </row>
    <row r="25" spans="2:18" ht="27.75" customHeight="1" x14ac:dyDescent="0.25">
      <c r="B25" s="123" t="s">
        <v>106</v>
      </c>
      <c r="C25" s="123"/>
      <c r="D25" s="123"/>
      <c r="E25" s="123"/>
      <c r="F25" s="123"/>
      <c r="G25" s="123"/>
      <c r="H25" s="123"/>
      <c r="I25" s="123"/>
      <c r="J25" s="123"/>
      <c r="K25" s="21"/>
      <c r="L25" s="21"/>
      <c r="M25" s="21"/>
      <c r="R25" s="21"/>
    </row>
    <row r="26" spans="2:18" ht="15" customHeight="1" x14ac:dyDescent="0.25">
      <c r="B26" s="107"/>
      <c r="C26" s="107"/>
      <c r="D26" s="107"/>
      <c r="E26" s="107"/>
      <c r="F26" s="107"/>
      <c r="G26" s="107"/>
      <c r="H26" s="107"/>
      <c r="I26" s="107"/>
      <c r="J26" s="107"/>
    </row>
    <row r="27" spans="2:18" x14ac:dyDescent="0.25">
      <c r="B27" s="124" t="s">
        <v>68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8" x14ac:dyDescent="0.25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8" ht="15.75" thickBot="1" x14ac:dyDescent="0.3"/>
    <row r="30" spans="2:18" ht="72" customHeight="1" thickBot="1" x14ac:dyDescent="0.3">
      <c r="B30" s="1" t="s">
        <v>0</v>
      </c>
      <c r="C30" s="2" t="s">
        <v>1</v>
      </c>
      <c r="D30" s="2" t="s">
        <v>2</v>
      </c>
      <c r="E30" s="23" t="s">
        <v>75</v>
      </c>
      <c r="F30" s="119">
        <v>2013</v>
      </c>
      <c r="G30" s="119">
        <v>2014</v>
      </c>
      <c r="H30" s="119">
        <v>2015</v>
      </c>
      <c r="I30" s="119">
        <v>2016</v>
      </c>
      <c r="J30" s="119">
        <v>2017</v>
      </c>
      <c r="K30" s="119">
        <v>2018</v>
      </c>
      <c r="L30" s="119">
        <v>2019</v>
      </c>
      <c r="M30" s="119">
        <v>2020</v>
      </c>
      <c r="N30" s="119">
        <v>2021</v>
      </c>
      <c r="O30" s="118" t="s">
        <v>122</v>
      </c>
      <c r="P30" s="29" t="s">
        <v>123</v>
      </c>
      <c r="Q30" s="31" t="s">
        <v>124</v>
      </c>
    </row>
    <row r="31" spans="2:18" ht="45.75" thickBot="1" x14ac:dyDescent="0.3">
      <c r="B31" s="79" t="s">
        <v>3</v>
      </c>
      <c r="C31" s="73" t="s">
        <v>4</v>
      </c>
      <c r="D31" s="73" t="s">
        <v>98</v>
      </c>
      <c r="E31" s="74">
        <v>43903</v>
      </c>
      <c r="F31" s="74">
        <v>3700</v>
      </c>
      <c r="G31" s="74">
        <v>2874</v>
      </c>
      <c r="H31" s="74">
        <v>4005</v>
      </c>
      <c r="I31" s="74">
        <v>7293</v>
      </c>
      <c r="J31" s="74">
        <v>4586</v>
      </c>
      <c r="K31" s="74">
        <v>7395</v>
      </c>
      <c r="L31" s="74">
        <v>2296</v>
      </c>
      <c r="M31" s="74">
        <v>2708</v>
      </c>
      <c r="N31" s="76">
        <v>1313</v>
      </c>
      <c r="O31" s="76">
        <f>'Avance General y Detallado FA'!AA31</f>
        <v>1072</v>
      </c>
      <c r="P31" s="77">
        <f>F31+G31+H31+I31+J31+K31+L31+M31+N31+O31</f>
        <v>37242</v>
      </c>
      <c r="Q31" s="78">
        <f t="shared" ref="Q31:Q53" si="0">P31/E31</f>
        <v>0.84827916087738875</v>
      </c>
    </row>
    <row r="32" spans="2:18" ht="45" x14ac:dyDescent="0.25">
      <c r="B32" s="126" t="s">
        <v>5</v>
      </c>
      <c r="C32" s="47" t="s">
        <v>6</v>
      </c>
      <c r="D32" s="47" t="s">
        <v>77</v>
      </c>
      <c r="E32" s="48">
        <v>130</v>
      </c>
      <c r="F32" s="48">
        <v>0</v>
      </c>
      <c r="G32" s="48">
        <v>12</v>
      </c>
      <c r="H32" s="48">
        <v>8</v>
      </c>
      <c r="I32" s="48">
        <v>26</v>
      </c>
      <c r="J32" s="48">
        <f>78-SUM(F32:I32)</f>
        <v>32</v>
      </c>
      <c r="K32" s="48">
        <f>97-SUM(F32:J32)</f>
        <v>19</v>
      </c>
      <c r="L32" s="48">
        <f>107-SUM(F32:K32)</f>
        <v>10</v>
      </c>
      <c r="M32" s="48">
        <f>112-SUM(F32:L32)</f>
        <v>5</v>
      </c>
      <c r="N32" s="34">
        <v>4</v>
      </c>
      <c r="O32" s="35">
        <f>'Avance General y Detallado FA'!AA32</f>
        <v>1</v>
      </c>
      <c r="P32" s="36">
        <f t="shared" ref="P32:P53" si="1">F32+G32+H32+I32+J32+K32+L32+M32+N32+O32</f>
        <v>117</v>
      </c>
      <c r="Q32" s="37">
        <f t="shared" si="0"/>
        <v>0.9</v>
      </c>
    </row>
    <row r="33" spans="2:17" ht="45.75" thickBot="1" x14ac:dyDescent="0.3">
      <c r="B33" s="127"/>
      <c r="C33" s="81" t="s">
        <v>7</v>
      </c>
      <c r="D33" s="81" t="s">
        <v>8</v>
      </c>
      <c r="E33" s="82">
        <v>99</v>
      </c>
      <c r="F33" s="82">
        <v>0</v>
      </c>
      <c r="G33" s="82">
        <v>13</v>
      </c>
      <c r="H33" s="82">
        <v>11</v>
      </c>
      <c r="I33" s="82">
        <v>21</v>
      </c>
      <c r="J33" s="82">
        <f>65-SUM(F33:I33)</f>
        <v>20</v>
      </c>
      <c r="K33" s="82">
        <f>83-SUM(F33:J33)</f>
        <v>18</v>
      </c>
      <c r="L33" s="82">
        <f>88-SUM(F33:K33)</f>
        <v>5</v>
      </c>
      <c r="M33" s="82">
        <f>93-SUM(F33:L33)</f>
        <v>5</v>
      </c>
      <c r="N33" s="56">
        <v>2</v>
      </c>
      <c r="O33" s="57">
        <f>'Avance General y Detallado FA'!AA33</f>
        <v>2</v>
      </c>
      <c r="P33" s="58">
        <f t="shared" si="1"/>
        <v>97</v>
      </c>
      <c r="Q33" s="61">
        <f t="shared" si="0"/>
        <v>0.97979797979797978</v>
      </c>
    </row>
    <row r="34" spans="2:17" ht="59.25" customHeight="1" thickBot="1" x14ac:dyDescent="0.3">
      <c r="B34" s="80" t="s">
        <v>9</v>
      </c>
      <c r="C34" s="73" t="s">
        <v>10</v>
      </c>
      <c r="D34" s="73" t="s">
        <v>76</v>
      </c>
      <c r="E34" s="74">
        <v>39</v>
      </c>
      <c r="F34" s="74">
        <v>1</v>
      </c>
      <c r="G34" s="74">
        <v>2</v>
      </c>
      <c r="H34" s="74">
        <v>4</v>
      </c>
      <c r="I34" s="74">
        <v>8</v>
      </c>
      <c r="J34" s="74">
        <f>15-SUM(F34:I34)</f>
        <v>0</v>
      </c>
      <c r="K34" s="74">
        <f>20-SUM(F34:J34)</f>
        <v>5</v>
      </c>
      <c r="L34" s="74">
        <f>24-SUM(F34:K34)</f>
        <v>4</v>
      </c>
      <c r="M34" s="74">
        <f>28-SUM(F34:L34)</f>
        <v>4</v>
      </c>
      <c r="N34" s="76">
        <v>1</v>
      </c>
      <c r="O34" s="76">
        <f>'Avance General y Detallado FA'!AA34</f>
        <v>2</v>
      </c>
      <c r="P34" s="77">
        <f t="shared" si="1"/>
        <v>31</v>
      </c>
      <c r="Q34" s="78">
        <f t="shared" si="0"/>
        <v>0.79487179487179482</v>
      </c>
    </row>
    <row r="35" spans="2:17" ht="45" x14ac:dyDescent="0.25">
      <c r="B35" s="128" t="s">
        <v>11</v>
      </c>
      <c r="C35" s="47" t="s">
        <v>12</v>
      </c>
      <c r="D35" s="47" t="s">
        <v>13</v>
      </c>
      <c r="E35" s="48">
        <v>391</v>
      </c>
      <c r="F35" s="48">
        <v>10</v>
      </c>
      <c r="G35" s="48">
        <v>88</v>
      </c>
      <c r="H35" s="48">
        <v>179</v>
      </c>
      <c r="I35" s="48">
        <v>92</v>
      </c>
      <c r="J35" s="48">
        <v>7</v>
      </c>
      <c r="K35" s="48">
        <v>1</v>
      </c>
      <c r="L35" s="48">
        <v>2</v>
      </c>
      <c r="M35" s="48">
        <v>7</v>
      </c>
      <c r="N35" s="34">
        <v>0</v>
      </c>
      <c r="O35" s="35">
        <f>'Avance General y Detallado FA'!AA35</f>
        <v>1</v>
      </c>
      <c r="P35" s="36">
        <f t="shared" si="1"/>
        <v>387</v>
      </c>
      <c r="Q35" s="37">
        <f t="shared" si="0"/>
        <v>0.98976982097186705</v>
      </c>
    </row>
    <row r="36" spans="2:17" ht="60.75" thickBot="1" x14ac:dyDescent="0.3">
      <c r="B36" s="129"/>
      <c r="C36" s="81" t="s">
        <v>14</v>
      </c>
      <c r="D36" s="81" t="s">
        <v>48</v>
      </c>
      <c r="E36" s="82">
        <v>5</v>
      </c>
      <c r="F36" s="82">
        <v>0</v>
      </c>
      <c r="G36" s="82">
        <v>0</v>
      </c>
      <c r="H36" s="82">
        <v>5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  <c r="N36" s="56">
        <v>0</v>
      </c>
      <c r="O36" s="57">
        <f>'Avance General y Detallado FA'!AA36</f>
        <v>0</v>
      </c>
      <c r="P36" s="58">
        <f t="shared" si="1"/>
        <v>5</v>
      </c>
      <c r="Q36" s="61">
        <f t="shared" si="0"/>
        <v>1</v>
      </c>
    </row>
    <row r="37" spans="2:17" ht="45.75" thickBot="1" x14ac:dyDescent="0.3">
      <c r="B37" s="79" t="s">
        <v>15</v>
      </c>
      <c r="C37" s="73" t="s">
        <v>16</v>
      </c>
      <c r="D37" s="73" t="s">
        <v>78</v>
      </c>
      <c r="E37" s="74">
        <v>257</v>
      </c>
      <c r="F37" s="74">
        <v>0</v>
      </c>
      <c r="G37" s="74">
        <v>4</v>
      </c>
      <c r="H37" s="74">
        <v>42</v>
      </c>
      <c r="I37" s="74">
        <v>49</v>
      </c>
      <c r="J37" s="74">
        <f>115-SUM(F37:I37)</f>
        <v>20</v>
      </c>
      <c r="K37" s="74">
        <f>145-SUM(F37:J37)</f>
        <v>30</v>
      </c>
      <c r="L37" s="74">
        <f>197-SUM(F37:K37)</f>
        <v>52</v>
      </c>
      <c r="M37" s="74">
        <f>220-SUM(F37:L37)</f>
        <v>23</v>
      </c>
      <c r="N37" s="76">
        <v>14</v>
      </c>
      <c r="O37" s="76">
        <f>'Avance General y Detallado FA'!AA37</f>
        <v>3</v>
      </c>
      <c r="P37" s="77">
        <f t="shared" si="1"/>
        <v>237</v>
      </c>
      <c r="Q37" s="78">
        <f t="shared" si="0"/>
        <v>0.9221789883268483</v>
      </c>
    </row>
    <row r="38" spans="2:17" ht="90" x14ac:dyDescent="0.25">
      <c r="B38" s="126" t="s">
        <v>17</v>
      </c>
      <c r="C38" s="47" t="s">
        <v>18</v>
      </c>
      <c r="D38" s="47" t="s">
        <v>19</v>
      </c>
      <c r="E38" s="48">
        <v>137</v>
      </c>
      <c r="F38" s="48">
        <v>71</v>
      </c>
      <c r="G38" s="48">
        <v>66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34">
        <v>0</v>
      </c>
      <c r="O38" s="35">
        <f>'Avance General y Detallado FA'!AA38</f>
        <v>0</v>
      </c>
      <c r="P38" s="35">
        <f t="shared" si="1"/>
        <v>137</v>
      </c>
      <c r="Q38" s="37">
        <f t="shared" si="0"/>
        <v>1</v>
      </c>
    </row>
    <row r="39" spans="2:17" ht="75" x14ac:dyDescent="0.25">
      <c r="B39" s="130"/>
      <c r="C39" s="13" t="s">
        <v>20</v>
      </c>
      <c r="D39" s="13" t="s">
        <v>21</v>
      </c>
      <c r="E39" s="11">
        <v>253</v>
      </c>
      <c r="F39" s="11">
        <v>253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0">
        <v>0</v>
      </c>
      <c r="O39" s="113">
        <f>'Avance General y Detallado FA'!AA39</f>
        <v>0</v>
      </c>
      <c r="P39" s="3">
        <f t="shared" si="1"/>
        <v>253</v>
      </c>
      <c r="Q39" s="60">
        <f t="shared" si="0"/>
        <v>1</v>
      </c>
    </row>
    <row r="40" spans="2:17" ht="60" x14ac:dyDescent="0.25">
      <c r="B40" s="130"/>
      <c r="C40" s="4" t="s">
        <v>22</v>
      </c>
      <c r="D40" s="4" t="s">
        <v>23</v>
      </c>
      <c r="E40" s="5">
        <v>4</v>
      </c>
      <c r="F40" s="5">
        <v>0</v>
      </c>
      <c r="G40" s="5">
        <v>0</v>
      </c>
      <c r="H40" s="5">
        <v>3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6">
        <v>0</v>
      </c>
      <c r="O40" s="7">
        <f>'Avance General y Detallado FA'!AA40</f>
        <v>0</v>
      </c>
      <c r="P40" s="7">
        <f t="shared" si="1"/>
        <v>4</v>
      </c>
      <c r="Q40" s="38">
        <f t="shared" si="0"/>
        <v>1</v>
      </c>
    </row>
    <row r="41" spans="2:17" ht="114" customHeight="1" x14ac:dyDescent="0.25">
      <c r="B41" s="130"/>
      <c r="C41" s="13" t="s">
        <v>24</v>
      </c>
      <c r="D41" s="13" t="s">
        <v>25</v>
      </c>
      <c r="E41" s="11">
        <v>87</v>
      </c>
      <c r="F41" s="11">
        <v>0</v>
      </c>
      <c r="G41" s="11">
        <v>0</v>
      </c>
      <c r="H41" s="11">
        <v>15</v>
      </c>
      <c r="I41" s="11">
        <v>35</v>
      </c>
      <c r="J41" s="11">
        <v>24</v>
      </c>
      <c r="K41" s="11">
        <v>10</v>
      </c>
      <c r="L41" s="11">
        <v>0</v>
      </c>
      <c r="M41" s="11">
        <v>0</v>
      </c>
      <c r="N41" s="10">
        <v>1</v>
      </c>
      <c r="O41" s="113">
        <f>'Avance General y Detallado FA'!AA41</f>
        <v>2</v>
      </c>
      <c r="P41" s="3">
        <f t="shared" si="1"/>
        <v>87</v>
      </c>
      <c r="Q41" s="60">
        <f t="shared" si="0"/>
        <v>1</v>
      </c>
    </row>
    <row r="42" spans="2:17" ht="90" x14ac:dyDescent="0.25">
      <c r="B42" s="130"/>
      <c r="C42" s="4" t="s">
        <v>26</v>
      </c>
      <c r="D42" s="4" t="s">
        <v>80</v>
      </c>
      <c r="E42" s="5">
        <v>54</v>
      </c>
      <c r="F42" s="5">
        <v>6</v>
      </c>
      <c r="G42" s="5">
        <v>42</v>
      </c>
      <c r="H42" s="5">
        <v>6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6">
        <v>0</v>
      </c>
      <c r="O42" s="7">
        <f>'Avance General y Detallado FA'!AA42</f>
        <v>0</v>
      </c>
      <c r="P42" s="7">
        <f t="shared" si="1"/>
        <v>54</v>
      </c>
      <c r="Q42" s="38">
        <f t="shared" si="0"/>
        <v>1</v>
      </c>
    </row>
    <row r="43" spans="2:17" ht="90" x14ac:dyDescent="0.25">
      <c r="B43" s="130"/>
      <c r="C43" s="13" t="s">
        <v>27</v>
      </c>
      <c r="D43" s="13" t="s">
        <v>79</v>
      </c>
      <c r="E43" s="11">
        <v>54</v>
      </c>
      <c r="F43" s="11">
        <v>6</v>
      </c>
      <c r="G43" s="11">
        <v>42</v>
      </c>
      <c r="H43" s="11">
        <v>6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0">
        <v>0</v>
      </c>
      <c r="O43" s="113">
        <f>'Avance General y Detallado FA'!AA43</f>
        <v>0</v>
      </c>
      <c r="P43" s="3">
        <f t="shared" si="1"/>
        <v>54</v>
      </c>
      <c r="Q43" s="60">
        <f t="shared" si="0"/>
        <v>1</v>
      </c>
    </row>
    <row r="44" spans="2:17" ht="102" customHeight="1" thickBot="1" x14ac:dyDescent="0.3">
      <c r="B44" s="127"/>
      <c r="C44" s="81" t="s">
        <v>28</v>
      </c>
      <c r="D44" s="81" t="s">
        <v>85</v>
      </c>
      <c r="E44" s="82">
        <v>2</v>
      </c>
      <c r="F44" s="82">
        <v>0</v>
      </c>
      <c r="G44" s="82">
        <v>0</v>
      </c>
      <c r="H44" s="82">
        <v>0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56">
        <v>1</v>
      </c>
      <c r="O44" s="57">
        <f>'Avance General y Detallado FA'!AA44</f>
        <v>0</v>
      </c>
      <c r="P44" s="57">
        <f t="shared" si="1"/>
        <v>1</v>
      </c>
      <c r="Q44" s="61">
        <f t="shared" si="0"/>
        <v>0.5</v>
      </c>
    </row>
    <row r="45" spans="2:17" ht="45" x14ac:dyDescent="0.25">
      <c r="B45" s="131" t="s">
        <v>29</v>
      </c>
      <c r="C45" s="97" t="s">
        <v>56</v>
      </c>
      <c r="D45" s="103" t="s">
        <v>82</v>
      </c>
      <c r="E45" s="104">
        <v>28</v>
      </c>
      <c r="F45" s="104">
        <v>0</v>
      </c>
      <c r="G45" s="104">
        <v>0</v>
      </c>
      <c r="H45" s="104">
        <v>0</v>
      </c>
      <c r="I45" s="104">
        <v>2</v>
      </c>
      <c r="J45" s="104">
        <v>12</v>
      </c>
      <c r="K45" s="104">
        <f>20-SUM(F45:J45)</f>
        <v>6</v>
      </c>
      <c r="L45" s="104">
        <v>5</v>
      </c>
      <c r="M45" s="104">
        <v>2</v>
      </c>
      <c r="N45" s="99">
        <v>1</v>
      </c>
      <c r="O45" s="114">
        <f>'Avance General y Detallado FA'!AA45</f>
        <v>0</v>
      </c>
      <c r="P45" s="105">
        <f t="shared" si="1"/>
        <v>28</v>
      </c>
      <c r="Q45" s="106">
        <f t="shared" si="0"/>
        <v>1</v>
      </c>
    </row>
    <row r="46" spans="2:17" ht="45" x14ac:dyDescent="0.25">
      <c r="B46" s="132"/>
      <c r="C46" s="14" t="s">
        <v>57</v>
      </c>
      <c r="D46" s="19" t="s">
        <v>81</v>
      </c>
      <c r="E46" s="5">
        <v>32</v>
      </c>
      <c r="F46" s="5">
        <v>0</v>
      </c>
      <c r="G46" s="5">
        <v>0</v>
      </c>
      <c r="H46" s="5">
        <v>0</v>
      </c>
      <c r="I46" s="5">
        <v>5</v>
      </c>
      <c r="J46" s="5">
        <v>16</v>
      </c>
      <c r="K46" s="5">
        <f>26-SUM(F46:J46)</f>
        <v>5</v>
      </c>
      <c r="L46" s="5">
        <v>6</v>
      </c>
      <c r="M46" s="5">
        <v>0</v>
      </c>
      <c r="N46" s="6">
        <v>0</v>
      </c>
      <c r="O46" s="7">
        <f>'Avance General y Detallado FA'!AA46</f>
        <v>0</v>
      </c>
      <c r="P46" s="8">
        <f t="shared" si="1"/>
        <v>32</v>
      </c>
      <c r="Q46" s="38">
        <f t="shared" si="0"/>
        <v>1</v>
      </c>
    </row>
    <row r="47" spans="2:17" ht="88.5" customHeight="1" x14ac:dyDescent="0.25">
      <c r="B47" s="132"/>
      <c r="C47" s="13" t="s">
        <v>58</v>
      </c>
      <c r="D47" s="20" t="s">
        <v>59</v>
      </c>
      <c r="E47" s="11">
        <v>21</v>
      </c>
      <c r="F47" s="11">
        <v>0</v>
      </c>
      <c r="G47" s="11">
        <v>0</v>
      </c>
      <c r="H47" s="11">
        <v>0</v>
      </c>
      <c r="I47" s="11">
        <v>21</v>
      </c>
      <c r="J47" s="11">
        <v>0</v>
      </c>
      <c r="K47" s="11">
        <v>0</v>
      </c>
      <c r="L47" s="11">
        <v>0</v>
      </c>
      <c r="M47" s="11">
        <v>0</v>
      </c>
      <c r="N47" s="10">
        <v>0</v>
      </c>
      <c r="O47" s="113">
        <f>'Avance General y Detallado FA'!AA47</f>
        <v>0</v>
      </c>
      <c r="P47" s="12">
        <f t="shared" si="1"/>
        <v>21</v>
      </c>
      <c r="Q47" s="60">
        <f t="shared" si="0"/>
        <v>1</v>
      </c>
    </row>
    <row r="48" spans="2:17" ht="88.5" customHeight="1" x14ac:dyDescent="0.25">
      <c r="B48" s="132"/>
      <c r="C48" s="14" t="s">
        <v>60</v>
      </c>
      <c r="D48" s="19" t="s">
        <v>61</v>
      </c>
      <c r="E48" s="5">
        <v>3</v>
      </c>
      <c r="F48" s="5">
        <v>0</v>
      </c>
      <c r="G48" s="5">
        <v>0</v>
      </c>
      <c r="H48" s="5">
        <v>0</v>
      </c>
      <c r="I48" s="5">
        <v>3</v>
      </c>
      <c r="J48" s="5">
        <v>0</v>
      </c>
      <c r="K48" s="5">
        <v>0</v>
      </c>
      <c r="L48" s="5">
        <v>0</v>
      </c>
      <c r="M48" s="5">
        <v>0</v>
      </c>
      <c r="N48" s="6">
        <v>0</v>
      </c>
      <c r="O48" s="7">
        <f>'Avance General y Detallado FA'!AA48</f>
        <v>0</v>
      </c>
      <c r="P48" s="8">
        <f t="shared" si="1"/>
        <v>3</v>
      </c>
      <c r="Q48" s="38">
        <f t="shared" si="0"/>
        <v>1</v>
      </c>
    </row>
    <row r="49" spans="2:17" ht="60" x14ac:dyDescent="0.25">
      <c r="B49" s="132"/>
      <c r="C49" s="13" t="s">
        <v>30</v>
      </c>
      <c r="D49" s="20" t="s">
        <v>83</v>
      </c>
      <c r="E49" s="11">
        <v>210</v>
      </c>
      <c r="F49" s="11">
        <v>0</v>
      </c>
      <c r="G49" s="11">
        <v>0</v>
      </c>
      <c r="H49" s="11">
        <v>0</v>
      </c>
      <c r="I49" s="11">
        <v>0</v>
      </c>
      <c r="J49" s="11">
        <f>135-SUM(F49:I49)</f>
        <v>135</v>
      </c>
      <c r="K49" s="11">
        <f>208-SUM(F49:J49)</f>
        <v>73</v>
      </c>
      <c r="L49" s="11">
        <f>209-SUM(F49:K49)</f>
        <v>1</v>
      </c>
      <c r="M49" s="11">
        <v>0</v>
      </c>
      <c r="N49" s="10">
        <v>0</v>
      </c>
      <c r="O49" s="113">
        <f>'Avance General y Detallado FA'!AA49</f>
        <v>0</v>
      </c>
      <c r="P49" s="12">
        <f t="shared" si="1"/>
        <v>209</v>
      </c>
      <c r="Q49" s="60">
        <f t="shared" si="0"/>
        <v>0.99523809523809526</v>
      </c>
    </row>
    <row r="50" spans="2:17" ht="72" customHeight="1" x14ac:dyDescent="0.25">
      <c r="B50" s="132"/>
      <c r="C50" s="14" t="s">
        <v>31</v>
      </c>
      <c r="D50" s="19" t="s">
        <v>84</v>
      </c>
      <c r="E50" s="5">
        <v>247</v>
      </c>
      <c r="F50" s="5">
        <v>0</v>
      </c>
      <c r="G50" s="5">
        <v>0</v>
      </c>
      <c r="H50" s="5">
        <v>0</v>
      </c>
      <c r="I50" s="5">
        <v>134</v>
      </c>
      <c r="J50" s="5">
        <f>211-SUM(F50:I50)</f>
        <v>77</v>
      </c>
      <c r="K50" s="5">
        <f>248-SUM(F50:J50)</f>
        <v>37</v>
      </c>
      <c r="L50" s="5">
        <f>248-SUM(F50:K50)</f>
        <v>0</v>
      </c>
      <c r="M50" s="5">
        <v>0</v>
      </c>
      <c r="N50" s="6">
        <v>0</v>
      </c>
      <c r="O50" s="7">
        <f>'Avance General y Detallado FA'!AA50</f>
        <v>0</v>
      </c>
      <c r="P50" s="8">
        <f t="shared" si="1"/>
        <v>248</v>
      </c>
      <c r="Q50" s="38">
        <f t="shared" si="0"/>
        <v>1.0040485829959513</v>
      </c>
    </row>
    <row r="51" spans="2:17" ht="90" customHeight="1" x14ac:dyDescent="0.25">
      <c r="B51" s="132"/>
      <c r="C51" s="13" t="s">
        <v>62</v>
      </c>
      <c r="D51" s="20" t="s">
        <v>63</v>
      </c>
      <c r="E51" s="11">
        <v>3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f>2-SUM(F51:J51)</f>
        <v>2</v>
      </c>
      <c r="L51" s="11">
        <f>3-SUM(F51:K51)</f>
        <v>1</v>
      </c>
      <c r="M51" s="11">
        <v>0</v>
      </c>
      <c r="N51" s="10">
        <v>0</v>
      </c>
      <c r="O51" s="113">
        <f>'Avance General y Detallado FA'!AA51</f>
        <v>0</v>
      </c>
      <c r="P51" s="12">
        <f t="shared" si="1"/>
        <v>3</v>
      </c>
      <c r="Q51" s="60">
        <f t="shared" si="0"/>
        <v>1</v>
      </c>
    </row>
    <row r="52" spans="2:17" ht="60" x14ac:dyDescent="0.25">
      <c r="B52" s="132"/>
      <c r="C52" s="14" t="s">
        <v>64</v>
      </c>
      <c r="D52" s="19" t="s">
        <v>65</v>
      </c>
      <c r="E52" s="5">
        <v>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6">
        <v>0</v>
      </c>
      <c r="O52" s="7">
        <f>'Avance General y Detallado FA'!AA52</f>
        <v>1</v>
      </c>
      <c r="P52" s="8">
        <f t="shared" si="1"/>
        <v>1</v>
      </c>
      <c r="Q52" s="38">
        <f t="shared" si="0"/>
        <v>1</v>
      </c>
    </row>
    <row r="53" spans="2:17" ht="105.75" thickBot="1" x14ac:dyDescent="0.3">
      <c r="B53" s="133"/>
      <c r="C53" s="71" t="s">
        <v>32</v>
      </c>
      <c r="D53" s="84" t="s">
        <v>66</v>
      </c>
      <c r="E53" s="50">
        <v>11000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1">
        <v>0</v>
      </c>
      <c r="O53" s="115">
        <f>'Avance General y Detallado FA'!AA53</f>
        <v>0</v>
      </c>
      <c r="P53" s="52">
        <f t="shared" si="1"/>
        <v>0</v>
      </c>
      <c r="Q53" s="59">
        <f t="shared" si="0"/>
        <v>0</v>
      </c>
    </row>
    <row r="54" spans="2:17" x14ac:dyDescent="0.25">
      <c r="B54" s="15"/>
    </row>
    <row r="55" spans="2:17" x14ac:dyDescent="0.25">
      <c r="B55" s="124" t="s">
        <v>69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</row>
    <row r="56" spans="2:17" x14ac:dyDescent="0.25"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</row>
    <row r="57" spans="2:17" ht="15.75" thickBot="1" x14ac:dyDescent="0.3">
      <c r="C57" s="66"/>
      <c r="D57" s="66"/>
      <c r="N57" s="67"/>
      <c r="O57" s="67"/>
      <c r="P57" s="67"/>
      <c r="Q57" s="67"/>
    </row>
    <row r="58" spans="2:17" ht="69" customHeight="1" thickBot="1" x14ac:dyDescent="0.3">
      <c r="B58" s="16" t="s">
        <v>33</v>
      </c>
      <c r="C58" s="17" t="s">
        <v>1</v>
      </c>
      <c r="D58" s="17" t="s">
        <v>2</v>
      </c>
      <c r="E58" s="28" t="s">
        <v>75</v>
      </c>
      <c r="F58" s="119">
        <v>2013</v>
      </c>
      <c r="G58" s="119">
        <v>2014</v>
      </c>
      <c r="H58" s="119">
        <v>2015</v>
      </c>
      <c r="I58" s="119">
        <v>2016</v>
      </c>
      <c r="J58" s="119">
        <v>2017</v>
      </c>
      <c r="K58" s="119">
        <v>2018</v>
      </c>
      <c r="L58" s="119">
        <v>2019</v>
      </c>
      <c r="M58" s="119">
        <v>2020</v>
      </c>
      <c r="N58" s="119">
        <v>2021</v>
      </c>
      <c r="O58" s="118" t="s">
        <v>122</v>
      </c>
      <c r="P58" s="29" t="s">
        <v>120</v>
      </c>
      <c r="Q58" s="31" t="s">
        <v>121</v>
      </c>
    </row>
    <row r="59" spans="2:17" ht="60" x14ac:dyDescent="0.25">
      <c r="B59" s="134" t="s">
        <v>35</v>
      </c>
      <c r="C59" s="32" t="s">
        <v>39</v>
      </c>
      <c r="D59" s="33" t="s">
        <v>49</v>
      </c>
      <c r="E59" s="85">
        <v>52506</v>
      </c>
      <c r="F59" s="85"/>
      <c r="G59" s="85"/>
      <c r="H59" s="85"/>
      <c r="I59" s="85"/>
      <c r="J59" s="85">
        <v>2483</v>
      </c>
      <c r="K59" s="85">
        <v>46584</v>
      </c>
      <c r="L59" s="85"/>
      <c r="M59" s="85">
        <v>2521</v>
      </c>
      <c r="N59" s="34">
        <v>918</v>
      </c>
      <c r="O59" s="35">
        <f>'Avance General y Detallado FA'!AA59</f>
        <v>0</v>
      </c>
      <c r="P59" s="36">
        <f>F59+G59+H59+I59+J59+K59+L59+M59+N59+O59</f>
        <v>52506</v>
      </c>
      <c r="Q59" s="88">
        <f t="shared" ref="Q59:Q75" si="2">P59/E59</f>
        <v>1</v>
      </c>
    </row>
    <row r="60" spans="2:17" ht="60.75" customHeight="1" x14ac:dyDescent="0.25">
      <c r="B60" s="135"/>
      <c r="C60" s="9" t="s">
        <v>40</v>
      </c>
      <c r="D60" s="9" t="s">
        <v>86</v>
      </c>
      <c r="E60" s="18">
        <v>13</v>
      </c>
      <c r="F60" s="18"/>
      <c r="G60" s="18"/>
      <c r="H60" s="18"/>
      <c r="I60" s="18"/>
      <c r="J60" s="18">
        <v>3</v>
      </c>
      <c r="K60" s="18">
        <v>9</v>
      </c>
      <c r="L60" s="18"/>
      <c r="M60" s="18"/>
      <c r="N60" s="25">
        <v>1</v>
      </c>
      <c r="O60" s="44">
        <f>'Avance General y Detallado FA'!AA60</f>
        <v>0</v>
      </c>
      <c r="P60" s="91">
        <f t="shared" ref="P60:P75" si="3">F60+G60+H60+I60+J60+K60+L60+M60+N60+O60</f>
        <v>13</v>
      </c>
      <c r="Q60" s="89">
        <f t="shared" si="2"/>
        <v>1</v>
      </c>
    </row>
    <row r="61" spans="2:17" ht="60" x14ac:dyDescent="0.25">
      <c r="B61" s="135"/>
      <c r="C61" s="14" t="s">
        <v>41</v>
      </c>
      <c r="D61" s="19" t="s">
        <v>50</v>
      </c>
      <c r="E61" s="86">
        <v>1000</v>
      </c>
      <c r="F61" s="86"/>
      <c r="G61" s="86"/>
      <c r="H61" s="86"/>
      <c r="I61" s="86"/>
      <c r="J61" s="86"/>
      <c r="K61" s="86"/>
      <c r="L61" s="86">
        <v>1000</v>
      </c>
      <c r="M61" s="86"/>
      <c r="N61" s="6">
        <v>0</v>
      </c>
      <c r="O61" s="7">
        <f>'Avance General y Detallado FA'!AA61</f>
        <v>0</v>
      </c>
      <c r="P61" s="8">
        <f t="shared" si="3"/>
        <v>1000</v>
      </c>
      <c r="Q61" s="83">
        <f t="shared" si="2"/>
        <v>1</v>
      </c>
    </row>
    <row r="62" spans="2:17" ht="45.75" thickBot="1" x14ac:dyDescent="0.3">
      <c r="B62" s="136"/>
      <c r="C62" s="49" t="s">
        <v>42</v>
      </c>
      <c r="D62" s="49" t="s">
        <v>51</v>
      </c>
      <c r="E62" s="87">
        <v>596</v>
      </c>
      <c r="F62" s="87"/>
      <c r="G62" s="87"/>
      <c r="H62" s="87"/>
      <c r="I62" s="87"/>
      <c r="J62" s="87"/>
      <c r="K62" s="87"/>
      <c r="L62" s="87">
        <v>596</v>
      </c>
      <c r="M62" s="87"/>
      <c r="N62" s="72">
        <v>0</v>
      </c>
      <c r="O62" s="116">
        <f>'Avance General y Detallado FA'!AA62</f>
        <v>0</v>
      </c>
      <c r="P62" s="92">
        <f t="shared" si="3"/>
        <v>596</v>
      </c>
      <c r="Q62" s="90">
        <f t="shared" si="2"/>
        <v>1</v>
      </c>
    </row>
    <row r="63" spans="2:17" ht="105" x14ac:dyDescent="0.25">
      <c r="B63" s="137" t="s">
        <v>34</v>
      </c>
      <c r="C63" s="32" t="s">
        <v>43</v>
      </c>
      <c r="D63" s="33" t="s">
        <v>53</v>
      </c>
      <c r="E63" s="85">
        <v>988</v>
      </c>
      <c r="F63" s="85"/>
      <c r="G63" s="85"/>
      <c r="H63" s="85"/>
      <c r="I63" s="85"/>
      <c r="J63" s="85"/>
      <c r="K63" s="85">
        <v>577</v>
      </c>
      <c r="L63" s="85">
        <v>219</v>
      </c>
      <c r="M63" s="85">
        <v>42</v>
      </c>
      <c r="N63" s="35">
        <v>15</v>
      </c>
      <c r="O63" s="35">
        <f>'Avance General y Detallado FA'!AA63</f>
        <v>0</v>
      </c>
      <c r="P63" s="36">
        <f t="shared" si="3"/>
        <v>853</v>
      </c>
      <c r="Q63" s="37">
        <f t="shared" si="2"/>
        <v>0.86336032388663964</v>
      </c>
    </row>
    <row r="64" spans="2:17" ht="76.5" customHeight="1" x14ac:dyDescent="0.25">
      <c r="B64" s="138"/>
      <c r="C64" s="9" t="s">
        <v>99</v>
      </c>
      <c r="D64" s="9" t="s">
        <v>100</v>
      </c>
      <c r="E64" s="18">
        <v>8</v>
      </c>
      <c r="F64" s="18"/>
      <c r="G64" s="18"/>
      <c r="H64" s="18"/>
      <c r="I64" s="18"/>
      <c r="J64" s="18">
        <v>2</v>
      </c>
      <c r="K64" s="18">
        <v>2</v>
      </c>
      <c r="L64" s="18"/>
      <c r="M64" s="18"/>
      <c r="N64" s="44">
        <v>2</v>
      </c>
      <c r="O64" s="44">
        <f>'Avance General y Detallado FA'!AA64</f>
        <v>2</v>
      </c>
      <c r="P64" s="91">
        <f t="shared" si="3"/>
        <v>8</v>
      </c>
      <c r="Q64" s="40">
        <f t="shared" si="2"/>
        <v>1</v>
      </c>
    </row>
    <row r="65" spans="2:17" ht="30" x14ac:dyDescent="0.25">
      <c r="B65" s="138"/>
      <c r="C65" s="14" t="s">
        <v>87</v>
      </c>
      <c r="D65" s="19" t="s">
        <v>88</v>
      </c>
      <c r="E65" s="86">
        <v>2</v>
      </c>
      <c r="F65" s="86"/>
      <c r="G65" s="86"/>
      <c r="H65" s="86"/>
      <c r="I65" s="86"/>
      <c r="J65" s="86"/>
      <c r="K65" s="86"/>
      <c r="L65" s="86">
        <v>2</v>
      </c>
      <c r="M65" s="86"/>
      <c r="N65" s="7">
        <v>0</v>
      </c>
      <c r="O65" s="7">
        <f>'Avance General y Detallado FA'!AA65</f>
        <v>0</v>
      </c>
      <c r="P65" s="8">
        <f t="shared" si="3"/>
        <v>2</v>
      </c>
      <c r="Q65" s="38">
        <f t="shared" si="2"/>
        <v>1</v>
      </c>
    </row>
    <row r="66" spans="2:17" ht="30" x14ac:dyDescent="0.25">
      <c r="B66" s="138"/>
      <c r="C66" s="9" t="s">
        <v>89</v>
      </c>
      <c r="D66" s="9" t="s">
        <v>52</v>
      </c>
      <c r="E66" s="18">
        <v>2</v>
      </c>
      <c r="F66" s="18"/>
      <c r="G66" s="18"/>
      <c r="H66" s="18"/>
      <c r="I66" s="18"/>
      <c r="J66" s="18">
        <v>1</v>
      </c>
      <c r="K66" s="18"/>
      <c r="L66" s="18">
        <v>1</v>
      </c>
      <c r="M66" s="18"/>
      <c r="N66" s="44">
        <v>0</v>
      </c>
      <c r="O66" s="44">
        <f>'Avance General y Detallado FA'!AA66</f>
        <v>0</v>
      </c>
      <c r="P66" s="91">
        <f t="shared" si="3"/>
        <v>2</v>
      </c>
      <c r="Q66" s="40">
        <f t="shared" si="2"/>
        <v>1</v>
      </c>
    </row>
    <row r="67" spans="2:17" ht="60.75" thickBot="1" x14ac:dyDescent="0.3">
      <c r="B67" s="139"/>
      <c r="C67" s="53" t="s">
        <v>44</v>
      </c>
      <c r="D67" s="54" t="s">
        <v>72</v>
      </c>
      <c r="E67" s="55">
        <v>1</v>
      </c>
      <c r="F67" s="55"/>
      <c r="G67" s="55"/>
      <c r="H67" s="55"/>
      <c r="I67" s="55">
        <v>1</v>
      </c>
      <c r="J67" s="55"/>
      <c r="K67" s="55"/>
      <c r="L67" s="55"/>
      <c r="M67" s="55"/>
      <c r="N67" s="57">
        <v>0</v>
      </c>
      <c r="O67" s="57">
        <f>'Avance General y Detallado FA'!AA67</f>
        <v>0</v>
      </c>
      <c r="P67" s="58">
        <f t="shared" si="3"/>
        <v>1</v>
      </c>
      <c r="Q67" s="61">
        <f t="shared" si="2"/>
        <v>1</v>
      </c>
    </row>
    <row r="68" spans="2:17" ht="45" x14ac:dyDescent="0.25">
      <c r="B68" s="134" t="s">
        <v>36</v>
      </c>
      <c r="C68" s="69" t="s">
        <v>45</v>
      </c>
      <c r="D68" s="69" t="s">
        <v>54</v>
      </c>
      <c r="E68" s="39">
        <v>26.1</v>
      </c>
      <c r="F68" s="39"/>
      <c r="G68" s="39"/>
      <c r="H68" s="39"/>
      <c r="I68" s="39"/>
      <c r="J68" s="39"/>
      <c r="K68" s="39"/>
      <c r="L68" s="39"/>
      <c r="M68" s="39"/>
      <c r="N68" s="46">
        <v>2.65</v>
      </c>
      <c r="O68" s="117">
        <f>'Avance General y Detallado FA'!AA68</f>
        <v>11.39</v>
      </c>
      <c r="P68" s="93">
        <f t="shared" si="3"/>
        <v>14.040000000000001</v>
      </c>
      <c r="Q68" s="42">
        <f t="shared" si="2"/>
        <v>0.53793103448275859</v>
      </c>
    </row>
    <row r="69" spans="2:17" ht="75" x14ac:dyDescent="0.25">
      <c r="B69" s="135"/>
      <c r="C69" s="14" t="s">
        <v>46</v>
      </c>
      <c r="D69" s="19" t="s">
        <v>55</v>
      </c>
      <c r="E69" s="86">
        <v>7852</v>
      </c>
      <c r="F69" s="86"/>
      <c r="G69" s="86">
        <v>798</v>
      </c>
      <c r="H69" s="86">
        <v>274</v>
      </c>
      <c r="I69" s="86">
        <v>920</v>
      </c>
      <c r="J69" s="86">
        <v>23</v>
      </c>
      <c r="K69" s="86">
        <v>60</v>
      </c>
      <c r="L69" s="86">
        <v>700</v>
      </c>
      <c r="M69" s="86">
        <v>275</v>
      </c>
      <c r="N69" s="6">
        <v>476</v>
      </c>
      <c r="O69" s="7">
        <f>'Avance General y Detallado FA'!AA69</f>
        <v>141</v>
      </c>
      <c r="P69" s="7">
        <f t="shared" si="3"/>
        <v>3667</v>
      </c>
      <c r="Q69" s="38">
        <f t="shared" si="2"/>
        <v>0.46701477330616403</v>
      </c>
    </row>
    <row r="70" spans="2:17" ht="88.5" customHeight="1" thickBot="1" x14ac:dyDescent="0.3">
      <c r="B70" s="140"/>
      <c r="C70" s="94" t="s">
        <v>47</v>
      </c>
      <c r="D70" s="95" t="s">
        <v>101</v>
      </c>
      <c r="E70" s="96">
        <v>3</v>
      </c>
      <c r="F70" s="96"/>
      <c r="G70" s="96"/>
      <c r="H70" s="96"/>
      <c r="I70" s="96"/>
      <c r="J70" s="96"/>
      <c r="K70" s="96"/>
      <c r="L70" s="96"/>
      <c r="M70" s="96"/>
      <c r="N70" s="45">
        <v>0</v>
      </c>
      <c r="O70" s="43">
        <f>'Avance General y Detallado FA'!AA70</f>
        <v>0</v>
      </c>
      <c r="P70" s="43">
        <f t="shared" si="3"/>
        <v>0</v>
      </c>
      <c r="Q70" s="41">
        <f t="shared" si="2"/>
        <v>0</v>
      </c>
    </row>
    <row r="71" spans="2:17" ht="75" x14ac:dyDescent="0.25">
      <c r="B71" s="141" t="s">
        <v>37</v>
      </c>
      <c r="C71" s="32" t="s">
        <v>96</v>
      </c>
      <c r="D71" s="33" t="s">
        <v>95</v>
      </c>
      <c r="E71" s="85">
        <v>6</v>
      </c>
      <c r="F71" s="85"/>
      <c r="G71" s="85"/>
      <c r="H71" s="85">
        <v>1</v>
      </c>
      <c r="I71" s="85">
        <v>2</v>
      </c>
      <c r="J71" s="85">
        <v>1</v>
      </c>
      <c r="K71" s="85">
        <v>2</v>
      </c>
      <c r="L71" s="85"/>
      <c r="M71" s="85"/>
      <c r="N71" s="34">
        <v>0</v>
      </c>
      <c r="O71" s="35">
        <f>'Avance General y Detallado FA'!AA71</f>
        <v>0</v>
      </c>
      <c r="P71" s="35">
        <f t="shared" si="3"/>
        <v>6</v>
      </c>
      <c r="Q71" s="37">
        <f t="shared" si="2"/>
        <v>1</v>
      </c>
    </row>
    <row r="72" spans="2:17" ht="144.75" customHeight="1" x14ac:dyDescent="0.25">
      <c r="B72" s="142"/>
      <c r="C72" s="68" t="s">
        <v>102</v>
      </c>
      <c r="D72" s="13" t="s">
        <v>105</v>
      </c>
      <c r="E72" s="10">
        <v>3</v>
      </c>
      <c r="F72" s="10"/>
      <c r="G72" s="10"/>
      <c r="H72" s="10">
        <v>1</v>
      </c>
      <c r="I72" s="10"/>
      <c r="J72" s="10"/>
      <c r="K72" s="10"/>
      <c r="L72" s="10"/>
      <c r="M72" s="10"/>
      <c r="N72" s="25">
        <v>0</v>
      </c>
      <c r="O72" s="44">
        <f>'Avance General y Detallado FA'!AA72</f>
        <v>0</v>
      </c>
      <c r="P72" s="44">
        <f t="shared" si="3"/>
        <v>1</v>
      </c>
      <c r="Q72" s="40">
        <f t="shared" si="2"/>
        <v>0.33333333333333331</v>
      </c>
    </row>
    <row r="73" spans="2:17" ht="90.75" thickBot="1" x14ac:dyDescent="0.3">
      <c r="B73" s="143"/>
      <c r="C73" s="53" t="s">
        <v>94</v>
      </c>
      <c r="D73" s="54" t="s">
        <v>97</v>
      </c>
      <c r="E73" s="55">
        <v>4</v>
      </c>
      <c r="F73" s="55"/>
      <c r="G73" s="55"/>
      <c r="H73" s="55"/>
      <c r="I73" s="55"/>
      <c r="J73" s="55"/>
      <c r="K73" s="55">
        <v>1</v>
      </c>
      <c r="L73" s="55">
        <v>1</v>
      </c>
      <c r="M73" s="55">
        <v>1</v>
      </c>
      <c r="N73" s="56">
        <v>0</v>
      </c>
      <c r="O73" s="57">
        <f>'Avance General y Detallado FA'!AA73</f>
        <v>0</v>
      </c>
      <c r="P73" s="57">
        <f t="shared" si="3"/>
        <v>3</v>
      </c>
      <c r="Q73" s="61">
        <f t="shared" si="2"/>
        <v>0.75</v>
      </c>
    </row>
    <row r="74" spans="2:17" ht="90" x14ac:dyDescent="0.25">
      <c r="B74" s="121" t="s">
        <v>38</v>
      </c>
      <c r="C74" s="97" t="s">
        <v>90</v>
      </c>
      <c r="D74" s="98" t="s">
        <v>73</v>
      </c>
      <c r="E74" s="99">
        <v>10</v>
      </c>
      <c r="F74" s="99"/>
      <c r="G74" s="99"/>
      <c r="H74" s="99"/>
      <c r="I74" s="99"/>
      <c r="J74" s="99">
        <v>5</v>
      </c>
      <c r="K74" s="99">
        <v>4</v>
      </c>
      <c r="L74" s="99"/>
      <c r="M74" s="99"/>
      <c r="N74" s="101">
        <v>0</v>
      </c>
      <c r="O74" s="101">
        <f>'Avance General y Detallado FA'!AA74</f>
        <v>0</v>
      </c>
      <c r="P74" s="101">
        <f t="shared" si="3"/>
        <v>9</v>
      </c>
      <c r="Q74" s="102">
        <f t="shared" si="2"/>
        <v>0.9</v>
      </c>
    </row>
    <row r="75" spans="2:17" ht="30.75" thickBot="1" x14ac:dyDescent="0.3">
      <c r="B75" s="122"/>
      <c r="C75" s="53" t="s">
        <v>91</v>
      </c>
      <c r="D75" s="54" t="s">
        <v>92</v>
      </c>
      <c r="E75" s="55">
        <v>4</v>
      </c>
      <c r="F75" s="55"/>
      <c r="G75" s="55"/>
      <c r="H75" s="55"/>
      <c r="I75" s="55"/>
      <c r="J75" s="55"/>
      <c r="K75" s="55">
        <v>2</v>
      </c>
      <c r="L75" s="55"/>
      <c r="M75" s="55"/>
      <c r="N75" s="57">
        <v>0</v>
      </c>
      <c r="O75" s="57">
        <f>'Avance General y Detallado FA'!AA75</f>
        <v>0</v>
      </c>
      <c r="P75" s="57">
        <f t="shared" si="3"/>
        <v>2</v>
      </c>
      <c r="Q75" s="61">
        <f t="shared" si="2"/>
        <v>0.5</v>
      </c>
    </row>
  </sheetData>
  <autoFilter ref="B58:R75" xr:uid="{F8931197-07DD-4F96-89F3-4382796C035F}"/>
  <mergeCells count="18">
    <mergeCell ref="B22:Q23"/>
    <mergeCell ref="B3:Q3"/>
    <mergeCell ref="B5:J5"/>
    <mergeCell ref="B7:J7"/>
    <mergeCell ref="B9:J9"/>
    <mergeCell ref="B19:J19"/>
    <mergeCell ref="B74:B75"/>
    <mergeCell ref="B25:J25"/>
    <mergeCell ref="B27:Q28"/>
    <mergeCell ref="B32:B33"/>
    <mergeCell ref="B35:B36"/>
    <mergeCell ref="B38:B44"/>
    <mergeCell ref="B45:B53"/>
    <mergeCell ref="B55:Q56"/>
    <mergeCell ref="B59:B62"/>
    <mergeCell ref="B63:B67"/>
    <mergeCell ref="B68:B70"/>
    <mergeCell ref="B71:B73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6E96C-FEB4-4EB2-B5C0-5EDD20903DF6}">
  <sheetPr>
    <pageSetUpPr fitToPage="1"/>
  </sheetPr>
  <dimension ref="B1:AH75"/>
  <sheetViews>
    <sheetView tabSelected="1" zoomScale="68" zoomScaleNormal="68" workbookViewId="0">
      <selection activeCell="B2" sqref="B2"/>
    </sheetView>
  </sheetViews>
  <sheetFormatPr baseColWidth="10" defaultRowHeight="15" x14ac:dyDescent="0.25"/>
  <cols>
    <col min="1" max="1" width="3.42578125" style="24" customWidth="1"/>
    <col min="2" max="2" width="33.5703125" style="24" customWidth="1"/>
    <col min="3" max="3" width="35" style="21" customWidth="1"/>
    <col min="4" max="4" width="38.28515625" style="21" customWidth="1"/>
    <col min="5" max="14" width="16.140625" style="62" customWidth="1"/>
    <col min="15" max="27" width="11.42578125" style="24" customWidth="1"/>
    <col min="28" max="16384" width="11.42578125" style="24"/>
  </cols>
  <sheetData>
    <row r="1" spans="2:30" x14ac:dyDescent="0.25">
      <c r="AD1" s="21"/>
    </row>
    <row r="2" spans="2:30" x14ac:dyDescent="0.25">
      <c r="AD2" s="21"/>
    </row>
    <row r="3" spans="2:30" ht="30" customHeight="1" x14ac:dyDescent="0.25">
      <c r="B3" s="144" t="s">
        <v>103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6"/>
      <c r="AD3" s="21"/>
    </row>
    <row r="4" spans="2:30" x14ac:dyDescent="0.25">
      <c r="AD4" s="21"/>
    </row>
    <row r="5" spans="2:30" ht="52.5" customHeight="1" x14ac:dyDescent="0.25">
      <c r="B5" s="123" t="s">
        <v>104</v>
      </c>
      <c r="C5" s="123"/>
      <c r="D5" s="123"/>
      <c r="E5" s="123"/>
      <c r="F5" s="123"/>
      <c r="G5" s="123"/>
      <c r="H5" s="123"/>
      <c r="I5" s="123"/>
      <c r="J5" s="123"/>
      <c r="K5" s="21"/>
      <c r="L5" s="21"/>
      <c r="M5" s="21"/>
      <c r="N5" s="21"/>
      <c r="AD5" s="21"/>
    </row>
    <row r="6" spans="2:30" x14ac:dyDescent="0.25">
      <c r="AD6" s="21"/>
    </row>
    <row r="7" spans="2:30" ht="15" customHeight="1" x14ac:dyDescent="0.25">
      <c r="B7" s="147" t="s">
        <v>74</v>
      </c>
      <c r="C7" s="148"/>
      <c r="D7" s="148"/>
      <c r="E7" s="148"/>
      <c r="F7" s="148"/>
      <c r="G7" s="148"/>
      <c r="H7" s="148"/>
      <c r="I7" s="148"/>
      <c r="J7" s="148"/>
      <c r="K7" s="27"/>
      <c r="L7" s="27"/>
      <c r="M7" s="27"/>
      <c r="N7" s="110"/>
      <c r="AD7" s="21"/>
    </row>
    <row r="8" spans="2:30" x14ac:dyDescent="0.25">
      <c r="AD8" s="21"/>
    </row>
    <row r="9" spans="2:30" ht="60.75" customHeight="1" x14ac:dyDescent="0.25">
      <c r="B9" s="123" t="s">
        <v>93</v>
      </c>
      <c r="C9" s="123"/>
      <c r="D9" s="123"/>
      <c r="E9" s="123"/>
      <c r="F9" s="123"/>
      <c r="G9" s="123"/>
      <c r="H9" s="123"/>
      <c r="I9" s="123"/>
      <c r="J9" s="123"/>
      <c r="K9" s="21"/>
      <c r="L9" s="21"/>
      <c r="M9" s="21"/>
      <c r="N9" s="21"/>
      <c r="AD9" s="21"/>
    </row>
    <row r="10" spans="2:30" x14ac:dyDescent="0.25">
      <c r="AD10" s="21"/>
    </row>
    <row r="11" spans="2:30" x14ac:dyDescent="0.25">
      <c r="B11" s="111" t="s">
        <v>70</v>
      </c>
      <c r="C11" s="26" t="s">
        <v>71</v>
      </c>
      <c r="AD11" s="21"/>
    </row>
    <row r="12" spans="2:30" x14ac:dyDescent="0.25">
      <c r="B12" s="63">
        <v>2016</v>
      </c>
      <c r="C12" s="64">
        <v>0.52800000000000002</v>
      </c>
      <c r="AD12" s="21"/>
    </row>
    <row r="13" spans="2:30" x14ac:dyDescent="0.25">
      <c r="B13" s="63">
        <v>2017</v>
      </c>
      <c r="C13" s="64">
        <v>0.67</v>
      </c>
      <c r="AD13" s="21"/>
    </row>
    <row r="14" spans="2:30" x14ac:dyDescent="0.25">
      <c r="B14" s="63">
        <v>2018</v>
      </c>
      <c r="C14" s="64">
        <v>0.76</v>
      </c>
      <c r="AD14" s="21"/>
    </row>
    <row r="15" spans="2:30" x14ac:dyDescent="0.25">
      <c r="B15" s="63">
        <v>2019</v>
      </c>
      <c r="C15" s="64">
        <v>0.81200000000000006</v>
      </c>
      <c r="AD15" s="21"/>
    </row>
    <row r="16" spans="2:30" x14ac:dyDescent="0.25">
      <c r="B16" s="63">
        <v>2020</v>
      </c>
      <c r="C16" s="64">
        <v>0.84299999999999997</v>
      </c>
      <c r="AD16" s="21"/>
    </row>
    <row r="17" spans="2:30" x14ac:dyDescent="0.25">
      <c r="B17" s="63">
        <v>2021</v>
      </c>
      <c r="C17" s="65">
        <v>0.86599999999999999</v>
      </c>
      <c r="AD17" s="21"/>
    </row>
    <row r="18" spans="2:30" x14ac:dyDescent="0.25">
      <c r="B18" s="120">
        <v>44743</v>
      </c>
      <c r="C18" s="65">
        <v>0.88100000000000001</v>
      </c>
      <c r="AD18" s="21"/>
    </row>
    <row r="19" spans="2:30" ht="15" customHeight="1" x14ac:dyDescent="0.25">
      <c r="B19" s="149"/>
      <c r="C19" s="149"/>
      <c r="D19" s="149"/>
      <c r="E19" s="149"/>
      <c r="F19" s="149"/>
      <c r="G19" s="149"/>
      <c r="H19" s="149"/>
      <c r="I19" s="149"/>
      <c r="J19" s="149"/>
      <c r="K19" s="21"/>
      <c r="L19" s="21"/>
      <c r="M19" s="21"/>
      <c r="N19" s="21"/>
      <c r="AD19" s="21"/>
    </row>
    <row r="20" spans="2:30" x14ac:dyDescent="0.25">
      <c r="AD20" s="21"/>
    </row>
    <row r="21" spans="2:30" x14ac:dyDescent="0.25">
      <c r="AD21" s="21"/>
    </row>
    <row r="22" spans="2:30" x14ac:dyDescent="0.25">
      <c r="B22" s="124" t="s">
        <v>67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21"/>
    </row>
    <row r="23" spans="2:30" x14ac:dyDescent="0.25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21"/>
    </row>
    <row r="24" spans="2:30" x14ac:dyDescent="0.25">
      <c r="AD24" s="21"/>
    </row>
    <row r="25" spans="2:30" ht="27.75" customHeight="1" x14ac:dyDescent="0.25">
      <c r="B25" s="123" t="s">
        <v>106</v>
      </c>
      <c r="C25" s="123"/>
      <c r="D25" s="123"/>
      <c r="E25" s="123"/>
      <c r="F25" s="123"/>
      <c r="G25" s="123"/>
      <c r="H25" s="123"/>
      <c r="I25" s="123"/>
      <c r="J25" s="123"/>
      <c r="K25" s="21"/>
      <c r="L25" s="21"/>
      <c r="M25" s="21"/>
      <c r="N25" s="21"/>
      <c r="AD25" s="21"/>
    </row>
    <row r="26" spans="2:30" ht="15" customHeight="1" x14ac:dyDescent="0.25">
      <c r="B26" s="27"/>
      <c r="C26" s="27"/>
      <c r="D26" s="27"/>
      <c r="E26" s="27"/>
      <c r="F26" s="27"/>
      <c r="G26" s="27"/>
      <c r="H26" s="27"/>
      <c r="I26" s="27"/>
      <c r="J26" s="27"/>
    </row>
    <row r="27" spans="2:30" x14ac:dyDescent="0.25">
      <c r="B27" s="124" t="s">
        <v>68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</row>
    <row r="28" spans="2:30" x14ac:dyDescent="0.25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</row>
    <row r="29" spans="2:30" ht="15.75" thickBot="1" x14ac:dyDescent="0.3"/>
    <row r="30" spans="2:30" ht="72" customHeight="1" thickBot="1" x14ac:dyDescent="0.3">
      <c r="B30" s="1" t="s">
        <v>0</v>
      </c>
      <c r="C30" s="2" t="s">
        <v>1</v>
      </c>
      <c r="D30" s="2" t="s">
        <v>2</v>
      </c>
      <c r="E30" s="23" t="s">
        <v>75</v>
      </c>
      <c r="F30" s="119">
        <v>2013</v>
      </c>
      <c r="G30" s="119">
        <v>2014</v>
      </c>
      <c r="H30" s="119">
        <v>2015</v>
      </c>
      <c r="I30" s="119">
        <v>2016</v>
      </c>
      <c r="J30" s="119">
        <v>2017</v>
      </c>
      <c r="K30" s="119">
        <v>2018</v>
      </c>
      <c r="L30" s="119">
        <v>2019</v>
      </c>
      <c r="M30" s="119">
        <v>2020</v>
      </c>
      <c r="N30" s="119">
        <v>2021</v>
      </c>
      <c r="O30" s="22">
        <v>44562</v>
      </c>
      <c r="P30" s="22">
        <v>44593</v>
      </c>
      <c r="Q30" s="22">
        <v>44621</v>
      </c>
      <c r="R30" s="22">
        <v>44652</v>
      </c>
      <c r="S30" s="22">
        <v>44682</v>
      </c>
      <c r="T30" s="22">
        <v>44713</v>
      </c>
      <c r="U30" s="22">
        <v>44743</v>
      </c>
      <c r="V30" s="22">
        <v>44774</v>
      </c>
      <c r="W30" s="22">
        <v>44805</v>
      </c>
      <c r="X30" s="22">
        <v>44835</v>
      </c>
      <c r="Y30" s="22">
        <v>44866</v>
      </c>
      <c r="Z30" s="22">
        <v>44896</v>
      </c>
      <c r="AA30" s="118" t="s">
        <v>119</v>
      </c>
      <c r="AB30" s="29" t="s">
        <v>120</v>
      </c>
      <c r="AC30" s="31" t="s">
        <v>121</v>
      </c>
    </row>
    <row r="31" spans="2:30" ht="45.75" thickBot="1" x14ac:dyDescent="0.3">
      <c r="B31" s="79" t="s">
        <v>3</v>
      </c>
      <c r="C31" s="73" t="s">
        <v>4</v>
      </c>
      <c r="D31" s="73" t="s">
        <v>98</v>
      </c>
      <c r="E31" s="74">
        <v>43903</v>
      </c>
      <c r="F31" s="74">
        <v>3700</v>
      </c>
      <c r="G31" s="74">
        <v>2874</v>
      </c>
      <c r="H31" s="74">
        <v>4005</v>
      </c>
      <c r="I31" s="74">
        <v>7293</v>
      </c>
      <c r="J31" s="74">
        <v>4586</v>
      </c>
      <c r="K31" s="74">
        <v>7395</v>
      </c>
      <c r="L31" s="74">
        <v>2296</v>
      </c>
      <c r="M31" s="74">
        <v>2708</v>
      </c>
      <c r="N31" s="74">
        <v>1313</v>
      </c>
      <c r="O31" s="112">
        <v>80</v>
      </c>
      <c r="P31" s="3">
        <v>23</v>
      </c>
      <c r="Q31" s="3">
        <v>163</v>
      </c>
      <c r="R31" s="3">
        <v>220</v>
      </c>
      <c r="S31" s="3">
        <v>201</v>
      </c>
      <c r="T31" s="3">
        <v>65</v>
      </c>
      <c r="U31" s="3">
        <v>320</v>
      </c>
      <c r="V31" s="76"/>
      <c r="W31" s="76"/>
      <c r="X31" s="76"/>
      <c r="Y31" s="76"/>
      <c r="Z31" s="76"/>
      <c r="AA31" s="76">
        <f>SUM(O31:Z31)</f>
        <v>1072</v>
      </c>
      <c r="AB31" s="77">
        <f>F31+G31+H31+I31+J31+K31+L31+M31+N31+AA31</f>
        <v>37242</v>
      </c>
      <c r="AC31" s="78">
        <f t="shared" ref="AC31:AC53" si="0">AB31/E31</f>
        <v>0.84827916087738875</v>
      </c>
    </row>
    <row r="32" spans="2:30" ht="45" x14ac:dyDescent="0.25">
      <c r="B32" s="126" t="s">
        <v>5</v>
      </c>
      <c r="C32" s="47" t="s">
        <v>6</v>
      </c>
      <c r="D32" s="47" t="s">
        <v>77</v>
      </c>
      <c r="E32" s="48">
        <v>130</v>
      </c>
      <c r="F32" s="48">
        <v>0</v>
      </c>
      <c r="G32" s="48">
        <v>12</v>
      </c>
      <c r="H32" s="48">
        <v>8</v>
      </c>
      <c r="I32" s="48">
        <v>26</v>
      </c>
      <c r="J32" s="48">
        <f>78-SUM(F32:I32)</f>
        <v>32</v>
      </c>
      <c r="K32" s="48">
        <f>97-SUM(F32:J32)</f>
        <v>19</v>
      </c>
      <c r="L32" s="48">
        <f>107-SUM(F32:K32)</f>
        <v>10</v>
      </c>
      <c r="M32" s="48">
        <f>112-SUM(F32:L32)</f>
        <v>5</v>
      </c>
      <c r="N32" s="48">
        <v>4</v>
      </c>
      <c r="O32" s="34"/>
      <c r="P32" s="34"/>
      <c r="Q32" s="34">
        <v>1</v>
      </c>
      <c r="R32" s="34"/>
      <c r="S32" s="34"/>
      <c r="T32" s="34"/>
      <c r="U32" s="34"/>
      <c r="V32" s="34"/>
      <c r="W32" s="34"/>
      <c r="X32" s="34"/>
      <c r="Y32" s="34"/>
      <c r="Z32" s="34"/>
      <c r="AA32" s="34">
        <f t="shared" ref="AA32:AA53" si="1">SUM(O32:Z32)</f>
        <v>1</v>
      </c>
      <c r="AB32" s="36">
        <f t="shared" ref="AB32:AB53" si="2">F32+G32+H32+I32+J32+K32+L32+M32+N32+AA32</f>
        <v>117</v>
      </c>
      <c r="AC32" s="37">
        <f t="shared" si="0"/>
        <v>0.9</v>
      </c>
    </row>
    <row r="33" spans="2:29" ht="45.75" thickBot="1" x14ac:dyDescent="0.3">
      <c r="B33" s="127"/>
      <c r="C33" s="81" t="s">
        <v>7</v>
      </c>
      <c r="D33" s="81" t="s">
        <v>8</v>
      </c>
      <c r="E33" s="82">
        <v>99</v>
      </c>
      <c r="F33" s="82">
        <v>0</v>
      </c>
      <c r="G33" s="82">
        <v>13</v>
      </c>
      <c r="H33" s="82">
        <v>11</v>
      </c>
      <c r="I33" s="82">
        <v>21</v>
      </c>
      <c r="J33" s="82">
        <f>65-SUM(F33:I33)</f>
        <v>20</v>
      </c>
      <c r="K33" s="82">
        <f>83-SUM(F33:J33)</f>
        <v>18</v>
      </c>
      <c r="L33" s="82">
        <f>88-SUM(F33:K33)</f>
        <v>5</v>
      </c>
      <c r="M33" s="82">
        <f>93-SUM(F33:L33)</f>
        <v>5</v>
      </c>
      <c r="N33" s="82">
        <v>2</v>
      </c>
      <c r="O33" s="56"/>
      <c r="P33" s="56">
        <v>1</v>
      </c>
      <c r="Q33" s="56"/>
      <c r="R33" s="56"/>
      <c r="S33" s="56">
        <v>1</v>
      </c>
      <c r="T33" s="56"/>
      <c r="U33" s="56"/>
      <c r="V33" s="56"/>
      <c r="W33" s="56"/>
      <c r="X33" s="56"/>
      <c r="Y33" s="56"/>
      <c r="Z33" s="56"/>
      <c r="AA33" s="56">
        <f t="shared" si="1"/>
        <v>2</v>
      </c>
      <c r="AB33" s="58">
        <f t="shared" si="2"/>
        <v>97</v>
      </c>
      <c r="AC33" s="61">
        <f t="shared" si="0"/>
        <v>0.97979797979797978</v>
      </c>
    </row>
    <row r="34" spans="2:29" ht="59.25" customHeight="1" thickBot="1" x14ac:dyDescent="0.3">
      <c r="B34" s="80" t="s">
        <v>9</v>
      </c>
      <c r="C34" s="73" t="s">
        <v>10</v>
      </c>
      <c r="D34" s="73" t="s">
        <v>76</v>
      </c>
      <c r="E34" s="74">
        <v>39</v>
      </c>
      <c r="F34" s="74">
        <v>1</v>
      </c>
      <c r="G34" s="74">
        <v>2</v>
      </c>
      <c r="H34" s="74">
        <v>4</v>
      </c>
      <c r="I34" s="74">
        <v>8</v>
      </c>
      <c r="J34" s="74">
        <f>15-SUM(F34:I34)</f>
        <v>0</v>
      </c>
      <c r="K34" s="74">
        <f>20-SUM(F34:J34)</f>
        <v>5</v>
      </c>
      <c r="L34" s="74">
        <f>24-SUM(F34:K34)</f>
        <v>4</v>
      </c>
      <c r="M34" s="74">
        <f>28-SUM(F34:L34)</f>
        <v>4</v>
      </c>
      <c r="N34" s="74">
        <v>1</v>
      </c>
      <c r="O34" s="75">
        <v>1</v>
      </c>
      <c r="P34" s="76"/>
      <c r="Q34" s="76"/>
      <c r="R34" s="76"/>
      <c r="S34" s="76"/>
      <c r="T34" s="76">
        <v>1</v>
      </c>
      <c r="U34" s="76"/>
      <c r="V34" s="76"/>
      <c r="W34" s="76"/>
      <c r="X34" s="76"/>
      <c r="Y34" s="76"/>
      <c r="Z34" s="76"/>
      <c r="AA34" s="76">
        <f t="shared" si="1"/>
        <v>2</v>
      </c>
      <c r="AB34" s="77">
        <f t="shared" si="2"/>
        <v>31</v>
      </c>
      <c r="AC34" s="78">
        <f t="shared" si="0"/>
        <v>0.79487179487179482</v>
      </c>
    </row>
    <row r="35" spans="2:29" ht="45" x14ac:dyDescent="0.25">
      <c r="B35" s="128" t="s">
        <v>11</v>
      </c>
      <c r="C35" s="47" t="s">
        <v>12</v>
      </c>
      <c r="D35" s="47" t="s">
        <v>13</v>
      </c>
      <c r="E35" s="48">
        <v>391</v>
      </c>
      <c r="F35" s="48">
        <v>10</v>
      </c>
      <c r="G35" s="48">
        <v>88</v>
      </c>
      <c r="H35" s="48">
        <v>179</v>
      </c>
      <c r="I35" s="48">
        <v>92</v>
      </c>
      <c r="J35" s="48">
        <v>7</v>
      </c>
      <c r="K35" s="48">
        <v>1</v>
      </c>
      <c r="L35" s="48">
        <v>2</v>
      </c>
      <c r="M35" s="48">
        <v>7</v>
      </c>
      <c r="N35" s="48">
        <v>0</v>
      </c>
      <c r="O35" s="34"/>
      <c r="P35" s="34"/>
      <c r="Q35" s="34"/>
      <c r="R35" s="34"/>
      <c r="S35" s="34"/>
      <c r="T35" s="34">
        <v>1</v>
      </c>
      <c r="U35" s="34"/>
      <c r="V35" s="34"/>
      <c r="W35" s="34"/>
      <c r="X35" s="34"/>
      <c r="Y35" s="34"/>
      <c r="Z35" s="34"/>
      <c r="AA35" s="34">
        <f t="shared" si="1"/>
        <v>1</v>
      </c>
      <c r="AB35" s="36">
        <f t="shared" si="2"/>
        <v>387</v>
      </c>
      <c r="AC35" s="37">
        <f t="shared" si="0"/>
        <v>0.98976982097186705</v>
      </c>
    </row>
    <row r="36" spans="2:29" ht="60.75" thickBot="1" x14ac:dyDescent="0.3">
      <c r="B36" s="129"/>
      <c r="C36" s="81" t="s">
        <v>14</v>
      </c>
      <c r="D36" s="81" t="s">
        <v>48</v>
      </c>
      <c r="E36" s="82">
        <v>5</v>
      </c>
      <c r="F36" s="82">
        <v>0</v>
      </c>
      <c r="G36" s="82">
        <v>0</v>
      </c>
      <c r="H36" s="82">
        <v>5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  <c r="N36" s="82">
        <v>0</v>
      </c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>
        <f t="shared" si="1"/>
        <v>0</v>
      </c>
      <c r="AB36" s="58">
        <f t="shared" si="2"/>
        <v>5</v>
      </c>
      <c r="AC36" s="61">
        <f t="shared" si="0"/>
        <v>1</v>
      </c>
    </row>
    <row r="37" spans="2:29" ht="45.75" thickBot="1" x14ac:dyDescent="0.3">
      <c r="B37" s="79" t="s">
        <v>15</v>
      </c>
      <c r="C37" s="73" t="s">
        <v>16</v>
      </c>
      <c r="D37" s="73" t="s">
        <v>78</v>
      </c>
      <c r="E37" s="74">
        <v>255</v>
      </c>
      <c r="F37" s="74">
        <v>0</v>
      </c>
      <c r="G37" s="74">
        <v>4</v>
      </c>
      <c r="H37" s="74">
        <v>42</v>
      </c>
      <c r="I37" s="74">
        <v>42</v>
      </c>
      <c r="J37" s="74">
        <f>115-SUM(F37:I37)</f>
        <v>27</v>
      </c>
      <c r="K37" s="74">
        <f>145-SUM(F37:J37)</f>
        <v>30</v>
      </c>
      <c r="L37" s="74">
        <f>197-SUM(F37:K37)</f>
        <v>52</v>
      </c>
      <c r="M37" s="74">
        <f>220-SUM(F37:L37)</f>
        <v>23</v>
      </c>
      <c r="N37" s="74">
        <v>14</v>
      </c>
      <c r="O37" s="75"/>
      <c r="P37" s="76"/>
      <c r="Q37" s="76">
        <v>1</v>
      </c>
      <c r="R37" s="76">
        <v>1</v>
      </c>
      <c r="S37" s="76"/>
      <c r="T37" s="76"/>
      <c r="U37" s="76">
        <v>1</v>
      </c>
      <c r="V37" s="76"/>
      <c r="W37" s="76"/>
      <c r="X37" s="76"/>
      <c r="Y37" s="76"/>
      <c r="Z37" s="76"/>
      <c r="AA37" s="76">
        <f t="shared" si="1"/>
        <v>3</v>
      </c>
      <c r="AB37" s="77">
        <f t="shared" si="2"/>
        <v>237</v>
      </c>
      <c r="AC37" s="78">
        <f t="shared" si="0"/>
        <v>0.92941176470588238</v>
      </c>
    </row>
    <row r="38" spans="2:29" ht="90" x14ac:dyDescent="0.25">
      <c r="B38" s="126" t="s">
        <v>17</v>
      </c>
      <c r="C38" s="47" t="s">
        <v>18</v>
      </c>
      <c r="D38" s="47" t="s">
        <v>19</v>
      </c>
      <c r="E38" s="48">
        <v>137</v>
      </c>
      <c r="F38" s="48">
        <v>71</v>
      </c>
      <c r="G38" s="48">
        <v>66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>
        <f t="shared" si="1"/>
        <v>0</v>
      </c>
      <c r="AB38" s="35">
        <f t="shared" si="2"/>
        <v>137</v>
      </c>
      <c r="AC38" s="37">
        <f t="shared" si="0"/>
        <v>1</v>
      </c>
    </row>
    <row r="39" spans="2:29" ht="75" x14ac:dyDescent="0.25">
      <c r="B39" s="130"/>
      <c r="C39" s="13" t="s">
        <v>20</v>
      </c>
      <c r="D39" s="13" t="s">
        <v>21</v>
      </c>
      <c r="E39" s="11">
        <v>253</v>
      </c>
      <c r="F39" s="11">
        <v>253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>
        <f t="shared" si="1"/>
        <v>0</v>
      </c>
      <c r="AB39" s="3">
        <f t="shared" si="2"/>
        <v>253</v>
      </c>
      <c r="AC39" s="60">
        <f t="shared" si="0"/>
        <v>1</v>
      </c>
    </row>
    <row r="40" spans="2:29" ht="60" x14ac:dyDescent="0.25">
      <c r="B40" s="130"/>
      <c r="C40" s="4" t="s">
        <v>22</v>
      </c>
      <c r="D40" s="4" t="s">
        <v>23</v>
      </c>
      <c r="E40" s="5">
        <v>4</v>
      </c>
      <c r="F40" s="5">
        <v>0</v>
      </c>
      <c r="G40" s="5">
        <v>0</v>
      </c>
      <c r="H40" s="5">
        <v>3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5">
        <v>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>
        <f t="shared" si="1"/>
        <v>0</v>
      </c>
      <c r="AB40" s="7">
        <f t="shared" si="2"/>
        <v>4</v>
      </c>
      <c r="AC40" s="38">
        <f t="shared" si="0"/>
        <v>1</v>
      </c>
    </row>
    <row r="41" spans="2:29" ht="114" customHeight="1" x14ac:dyDescent="0.25">
      <c r="B41" s="130"/>
      <c r="C41" s="13" t="s">
        <v>24</v>
      </c>
      <c r="D41" s="13" t="s">
        <v>25</v>
      </c>
      <c r="E41" s="11">
        <v>87</v>
      </c>
      <c r="F41" s="11">
        <v>0</v>
      </c>
      <c r="G41" s="11">
        <v>0</v>
      </c>
      <c r="H41" s="11">
        <v>15</v>
      </c>
      <c r="I41" s="11">
        <v>35</v>
      </c>
      <c r="J41" s="11">
        <v>24</v>
      </c>
      <c r="K41" s="11">
        <v>10</v>
      </c>
      <c r="L41" s="11">
        <v>0</v>
      </c>
      <c r="M41" s="11">
        <v>0</v>
      </c>
      <c r="N41" s="11">
        <v>1</v>
      </c>
      <c r="O41" s="10"/>
      <c r="P41" s="10">
        <v>1</v>
      </c>
      <c r="Q41" s="10">
        <v>1</v>
      </c>
      <c r="R41" s="10"/>
      <c r="S41" s="10"/>
      <c r="T41" s="10"/>
      <c r="U41" s="10"/>
      <c r="V41" s="10"/>
      <c r="W41" s="10"/>
      <c r="X41" s="10"/>
      <c r="Y41" s="10"/>
      <c r="Z41" s="10"/>
      <c r="AA41" s="10">
        <f t="shared" si="1"/>
        <v>2</v>
      </c>
      <c r="AB41" s="3">
        <f t="shared" si="2"/>
        <v>87</v>
      </c>
      <c r="AC41" s="60">
        <f t="shared" si="0"/>
        <v>1</v>
      </c>
    </row>
    <row r="42" spans="2:29" ht="90" x14ac:dyDescent="0.25">
      <c r="B42" s="130"/>
      <c r="C42" s="4" t="s">
        <v>26</v>
      </c>
      <c r="D42" s="4" t="s">
        <v>80</v>
      </c>
      <c r="E42" s="5">
        <v>54</v>
      </c>
      <c r="F42" s="5">
        <v>6</v>
      </c>
      <c r="G42" s="5">
        <v>42</v>
      </c>
      <c r="H42" s="5">
        <v>6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>
        <f t="shared" si="1"/>
        <v>0</v>
      </c>
      <c r="AB42" s="7">
        <f t="shared" si="2"/>
        <v>54</v>
      </c>
      <c r="AC42" s="38">
        <f t="shared" si="0"/>
        <v>1</v>
      </c>
    </row>
    <row r="43" spans="2:29" ht="90" x14ac:dyDescent="0.25">
      <c r="B43" s="130"/>
      <c r="C43" s="13" t="s">
        <v>27</v>
      </c>
      <c r="D43" s="13" t="s">
        <v>79</v>
      </c>
      <c r="E43" s="11">
        <v>54</v>
      </c>
      <c r="F43" s="11">
        <v>6</v>
      </c>
      <c r="G43" s="11">
        <v>42</v>
      </c>
      <c r="H43" s="11">
        <v>6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>
        <f t="shared" si="1"/>
        <v>0</v>
      </c>
      <c r="AB43" s="3">
        <f t="shared" si="2"/>
        <v>54</v>
      </c>
      <c r="AC43" s="60">
        <f t="shared" si="0"/>
        <v>1</v>
      </c>
    </row>
    <row r="44" spans="2:29" ht="102" customHeight="1" thickBot="1" x14ac:dyDescent="0.3">
      <c r="B44" s="127"/>
      <c r="C44" s="81" t="s">
        <v>28</v>
      </c>
      <c r="D44" s="81" t="s">
        <v>85</v>
      </c>
      <c r="E44" s="82">
        <v>2</v>
      </c>
      <c r="F44" s="82">
        <v>0</v>
      </c>
      <c r="G44" s="82">
        <v>0</v>
      </c>
      <c r="H44" s="82">
        <v>0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82">
        <v>1</v>
      </c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>
        <f t="shared" si="1"/>
        <v>0</v>
      </c>
      <c r="AB44" s="57">
        <f t="shared" si="2"/>
        <v>1</v>
      </c>
      <c r="AC44" s="61">
        <f t="shared" si="0"/>
        <v>0.5</v>
      </c>
    </row>
    <row r="45" spans="2:29" ht="45" x14ac:dyDescent="0.25">
      <c r="B45" s="131" t="s">
        <v>29</v>
      </c>
      <c r="C45" s="97" t="s">
        <v>56</v>
      </c>
      <c r="D45" s="103" t="s">
        <v>82</v>
      </c>
      <c r="E45" s="104">
        <v>28</v>
      </c>
      <c r="F45" s="104">
        <v>0</v>
      </c>
      <c r="G45" s="104">
        <v>0</v>
      </c>
      <c r="H45" s="104">
        <v>0</v>
      </c>
      <c r="I45" s="104">
        <v>2</v>
      </c>
      <c r="J45" s="104">
        <v>12</v>
      </c>
      <c r="K45" s="104">
        <f>20-SUM(F45:J45)</f>
        <v>6</v>
      </c>
      <c r="L45" s="104">
        <v>5</v>
      </c>
      <c r="M45" s="104">
        <v>2</v>
      </c>
      <c r="N45" s="104">
        <v>1</v>
      </c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>
        <f t="shared" si="1"/>
        <v>0</v>
      </c>
      <c r="AB45" s="105">
        <f t="shared" si="2"/>
        <v>28</v>
      </c>
      <c r="AC45" s="106">
        <f t="shared" si="0"/>
        <v>1</v>
      </c>
    </row>
    <row r="46" spans="2:29" ht="45" x14ac:dyDescent="0.25">
      <c r="B46" s="132"/>
      <c r="C46" s="14" t="s">
        <v>57</v>
      </c>
      <c r="D46" s="19" t="s">
        <v>81</v>
      </c>
      <c r="E46" s="5">
        <v>32</v>
      </c>
      <c r="F46" s="5">
        <v>0</v>
      </c>
      <c r="G46" s="5">
        <v>0</v>
      </c>
      <c r="H46" s="5">
        <v>0</v>
      </c>
      <c r="I46" s="5">
        <v>5</v>
      </c>
      <c r="J46" s="5">
        <v>16</v>
      </c>
      <c r="K46" s="5">
        <f>26-SUM(F46:J46)</f>
        <v>5</v>
      </c>
      <c r="L46" s="5">
        <v>6</v>
      </c>
      <c r="M46" s="5">
        <v>0</v>
      </c>
      <c r="N46" s="5">
        <v>0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>
        <f t="shared" si="1"/>
        <v>0</v>
      </c>
      <c r="AB46" s="8">
        <f t="shared" si="2"/>
        <v>32</v>
      </c>
      <c r="AC46" s="38">
        <f t="shared" si="0"/>
        <v>1</v>
      </c>
    </row>
    <row r="47" spans="2:29" ht="88.5" customHeight="1" x14ac:dyDescent="0.25">
      <c r="B47" s="132"/>
      <c r="C47" s="13" t="s">
        <v>58</v>
      </c>
      <c r="D47" s="20" t="s">
        <v>59</v>
      </c>
      <c r="E47" s="11">
        <v>21</v>
      </c>
      <c r="F47" s="11">
        <v>0</v>
      </c>
      <c r="G47" s="11">
        <v>0</v>
      </c>
      <c r="H47" s="11">
        <v>0</v>
      </c>
      <c r="I47" s="11">
        <v>21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>
        <f t="shared" si="1"/>
        <v>0</v>
      </c>
      <c r="AB47" s="12">
        <f t="shared" si="2"/>
        <v>21</v>
      </c>
      <c r="AC47" s="60">
        <f t="shared" si="0"/>
        <v>1</v>
      </c>
    </row>
    <row r="48" spans="2:29" ht="88.5" customHeight="1" x14ac:dyDescent="0.25">
      <c r="B48" s="132"/>
      <c r="C48" s="14" t="s">
        <v>60</v>
      </c>
      <c r="D48" s="19" t="s">
        <v>61</v>
      </c>
      <c r="E48" s="5">
        <v>3</v>
      </c>
      <c r="F48" s="5">
        <v>0</v>
      </c>
      <c r="G48" s="5">
        <v>0</v>
      </c>
      <c r="H48" s="5">
        <v>0</v>
      </c>
      <c r="I48" s="5">
        <v>3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>
        <f t="shared" si="1"/>
        <v>0</v>
      </c>
      <c r="AB48" s="8">
        <f t="shared" si="2"/>
        <v>3</v>
      </c>
      <c r="AC48" s="38">
        <f t="shared" si="0"/>
        <v>1</v>
      </c>
    </row>
    <row r="49" spans="2:34" ht="60" x14ac:dyDescent="0.25">
      <c r="B49" s="132"/>
      <c r="C49" s="13" t="s">
        <v>30</v>
      </c>
      <c r="D49" s="20" t="s">
        <v>83</v>
      </c>
      <c r="E49" s="11">
        <v>210</v>
      </c>
      <c r="F49" s="11">
        <v>0</v>
      </c>
      <c r="G49" s="11">
        <v>0</v>
      </c>
      <c r="H49" s="11">
        <v>0</v>
      </c>
      <c r="I49" s="11">
        <v>0</v>
      </c>
      <c r="J49" s="11">
        <f>135-SUM(F49:I49)</f>
        <v>135</v>
      </c>
      <c r="K49" s="11">
        <f>208-SUM(F49:J49)</f>
        <v>73</v>
      </c>
      <c r="L49" s="11">
        <f>209-SUM(F49:K49)</f>
        <v>1</v>
      </c>
      <c r="M49" s="11">
        <v>0</v>
      </c>
      <c r="N49" s="11">
        <v>0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>
        <f t="shared" si="1"/>
        <v>0</v>
      </c>
      <c r="AB49" s="12">
        <f t="shared" si="2"/>
        <v>209</v>
      </c>
      <c r="AC49" s="60">
        <f t="shared" si="0"/>
        <v>0.99523809523809526</v>
      </c>
    </row>
    <row r="50" spans="2:34" ht="72" customHeight="1" x14ac:dyDescent="0.25">
      <c r="B50" s="132"/>
      <c r="C50" s="14" t="s">
        <v>31</v>
      </c>
      <c r="D50" s="19" t="s">
        <v>84</v>
      </c>
      <c r="E50" s="5">
        <v>247</v>
      </c>
      <c r="F50" s="5">
        <v>0</v>
      </c>
      <c r="G50" s="5">
        <v>0</v>
      </c>
      <c r="H50" s="5">
        <v>0</v>
      </c>
      <c r="I50" s="5">
        <v>134</v>
      </c>
      <c r="J50" s="5">
        <f>211-SUM(F50:I50)</f>
        <v>77</v>
      </c>
      <c r="K50" s="5">
        <f>248-SUM(F50:J50)</f>
        <v>37</v>
      </c>
      <c r="L50" s="5">
        <f>248-SUM(F50:K50)</f>
        <v>0</v>
      </c>
      <c r="M50" s="5">
        <v>0</v>
      </c>
      <c r="N50" s="5">
        <v>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>
        <f t="shared" si="1"/>
        <v>0</v>
      </c>
      <c r="AB50" s="8">
        <f t="shared" si="2"/>
        <v>248</v>
      </c>
      <c r="AC50" s="38">
        <f t="shared" si="0"/>
        <v>1.0040485829959513</v>
      </c>
    </row>
    <row r="51" spans="2:34" ht="90" customHeight="1" x14ac:dyDescent="0.25">
      <c r="B51" s="132"/>
      <c r="C51" s="13" t="s">
        <v>62</v>
      </c>
      <c r="D51" s="20" t="s">
        <v>63</v>
      </c>
      <c r="E51" s="11">
        <v>3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f>2-SUM(F51:J51)</f>
        <v>2</v>
      </c>
      <c r="L51" s="11">
        <f>3-SUM(F51:K51)</f>
        <v>1</v>
      </c>
      <c r="M51" s="11">
        <v>0</v>
      </c>
      <c r="N51" s="11">
        <v>0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>
        <f t="shared" si="1"/>
        <v>0</v>
      </c>
      <c r="AB51" s="12">
        <f t="shared" si="2"/>
        <v>3</v>
      </c>
      <c r="AC51" s="60">
        <f t="shared" si="0"/>
        <v>1</v>
      </c>
    </row>
    <row r="52" spans="2:34" ht="60" x14ac:dyDescent="0.25">
      <c r="B52" s="132"/>
      <c r="C52" s="14" t="s">
        <v>64</v>
      </c>
      <c r="D52" s="19" t="s">
        <v>65</v>
      </c>
      <c r="E52" s="5">
        <v>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6"/>
      <c r="P52" s="6"/>
      <c r="Q52" s="6"/>
      <c r="R52" s="6"/>
      <c r="S52" s="6"/>
      <c r="T52" s="6"/>
      <c r="U52" s="6">
        <v>1</v>
      </c>
      <c r="V52" s="6"/>
      <c r="W52" s="6"/>
      <c r="X52" s="6"/>
      <c r="Y52" s="6"/>
      <c r="Z52" s="6"/>
      <c r="AA52" s="6">
        <f t="shared" si="1"/>
        <v>1</v>
      </c>
      <c r="AB52" s="8">
        <f t="shared" si="2"/>
        <v>1</v>
      </c>
      <c r="AC52" s="38">
        <f t="shared" si="0"/>
        <v>1</v>
      </c>
    </row>
    <row r="53" spans="2:34" ht="105.75" thickBot="1" x14ac:dyDescent="0.3">
      <c r="B53" s="133"/>
      <c r="C53" s="71" t="s">
        <v>32</v>
      </c>
      <c r="D53" s="84" t="s">
        <v>66</v>
      </c>
      <c r="E53" s="50">
        <v>11000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>
        <f t="shared" si="1"/>
        <v>0</v>
      </c>
      <c r="AB53" s="52">
        <f t="shared" si="2"/>
        <v>0</v>
      </c>
      <c r="AC53" s="59">
        <f t="shared" si="0"/>
        <v>0</v>
      </c>
    </row>
    <row r="54" spans="2:34" x14ac:dyDescent="0.25">
      <c r="B54" s="15"/>
    </row>
    <row r="55" spans="2:34" x14ac:dyDescent="0.25">
      <c r="B55" s="124" t="s">
        <v>69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</row>
    <row r="56" spans="2:34" x14ac:dyDescent="0.25"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</row>
    <row r="57" spans="2:34" ht="15.75" thickBot="1" x14ac:dyDescent="0.3">
      <c r="C57" s="66"/>
      <c r="D57" s="66"/>
      <c r="T57" s="67"/>
      <c r="U57" s="67"/>
      <c r="V57" s="67"/>
      <c r="W57" s="67"/>
      <c r="X57" s="67"/>
      <c r="Y57" s="67"/>
      <c r="Z57" s="67"/>
      <c r="AA57" s="67"/>
      <c r="AB57" s="67"/>
      <c r="AC57" s="67"/>
    </row>
    <row r="58" spans="2:34" ht="69" customHeight="1" thickBot="1" x14ac:dyDescent="0.3">
      <c r="B58" s="16" t="s">
        <v>33</v>
      </c>
      <c r="C58" s="17" t="s">
        <v>1</v>
      </c>
      <c r="D58" s="17" t="s">
        <v>2</v>
      </c>
      <c r="E58" s="28" t="s">
        <v>75</v>
      </c>
      <c r="F58" s="119">
        <v>2013</v>
      </c>
      <c r="G58" s="119">
        <v>2014</v>
      </c>
      <c r="H58" s="119">
        <v>2015</v>
      </c>
      <c r="I58" s="119">
        <v>2016</v>
      </c>
      <c r="J58" s="119">
        <v>2017</v>
      </c>
      <c r="K58" s="119">
        <v>2018</v>
      </c>
      <c r="L58" s="119">
        <v>2019</v>
      </c>
      <c r="M58" s="119">
        <v>2020</v>
      </c>
      <c r="N58" s="119">
        <v>2021</v>
      </c>
      <c r="O58" s="30" t="s">
        <v>107</v>
      </c>
      <c r="P58" s="30" t="s">
        <v>108</v>
      </c>
      <c r="Q58" s="30" t="s">
        <v>109</v>
      </c>
      <c r="R58" s="30" t="s">
        <v>110</v>
      </c>
      <c r="S58" s="30" t="s">
        <v>111</v>
      </c>
      <c r="T58" s="30" t="s">
        <v>112</v>
      </c>
      <c r="U58" s="30" t="s">
        <v>113</v>
      </c>
      <c r="V58" s="30" t="s">
        <v>114</v>
      </c>
      <c r="W58" s="30" t="s">
        <v>115</v>
      </c>
      <c r="X58" s="30" t="s">
        <v>116</v>
      </c>
      <c r="Y58" s="30" t="s">
        <v>117</v>
      </c>
      <c r="Z58" s="30" t="s">
        <v>118</v>
      </c>
      <c r="AA58" s="118" t="s">
        <v>119</v>
      </c>
      <c r="AB58" s="29" t="s">
        <v>120</v>
      </c>
      <c r="AC58" s="31" t="s">
        <v>121</v>
      </c>
    </row>
    <row r="59" spans="2:34" ht="60" x14ac:dyDescent="0.25">
      <c r="B59" s="134" t="s">
        <v>35</v>
      </c>
      <c r="C59" s="32" t="s">
        <v>39</v>
      </c>
      <c r="D59" s="33" t="s">
        <v>49</v>
      </c>
      <c r="E59" s="85">
        <v>52506</v>
      </c>
      <c r="F59" s="85"/>
      <c r="G59" s="85"/>
      <c r="H59" s="85"/>
      <c r="I59" s="85"/>
      <c r="J59" s="85">
        <v>2483</v>
      </c>
      <c r="K59" s="85">
        <v>46584</v>
      </c>
      <c r="L59" s="85"/>
      <c r="M59" s="85">
        <v>2521</v>
      </c>
      <c r="N59" s="34">
        <v>918</v>
      </c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>
        <f t="shared" ref="AA59:AA75" si="3">SUM(O59:Z59)</f>
        <v>0</v>
      </c>
      <c r="AB59" s="36">
        <f>F59+G59+H59+I59+J59+K59+L59+M59+N59+AA59</f>
        <v>52506</v>
      </c>
      <c r="AC59" s="88">
        <f t="shared" ref="AC59:AC75" si="4">AB59/E59</f>
        <v>1</v>
      </c>
      <c r="AF59" s="108"/>
      <c r="AH59" s="108"/>
    </row>
    <row r="60" spans="2:34" ht="60.75" customHeight="1" x14ac:dyDescent="0.25">
      <c r="B60" s="135"/>
      <c r="C60" s="9" t="s">
        <v>40</v>
      </c>
      <c r="D60" s="9" t="s">
        <v>86</v>
      </c>
      <c r="E60" s="18">
        <v>13</v>
      </c>
      <c r="F60" s="18"/>
      <c r="G60" s="18"/>
      <c r="H60" s="18"/>
      <c r="I60" s="18"/>
      <c r="J60" s="18">
        <v>3</v>
      </c>
      <c r="K60" s="18">
        <v>9</v>
      </c>
      <c r="L60" s="18"/>
      <c r="M60" s="18"/>
      <c r="N60" s="25">
        <v>1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>
        <f t="shared" si="3"/>
        <v>0</v>
      </c>
      <c r="AB60" s="91">
        <f t="shared" ref="AB60:AB75" si="5">F60+G60+H60+I60+J60+K60+L60+M60+N60+AA60</f>
        <v>13</v>
      </c>
      <c r="AC60" s="89">
        <f t="shared" si="4"/>
        <v>1</v>
      </c>
    </row>
    <row r="61" spans="2:34" ht="60" x14ac:dyDescent="0.25">
      <c r="B61" s="135"/>
      <c r="C61" s="14" t="s">
        <v>41</v>
      </c>
      <c r="D61" s="19" t="s">
        <v>50</v>
      </c>
      <c r="E61" s="86">
        <v>1000</v>
      </c>
      <c r="F61" s="86"/>
      <c r="G61" s="86"/>
      <c r="H61" s="86"/>
      <c r="I61" s="86"/>
      <c r="J61" s="86"/>
      <c r="K61" s="86"/>
      <c r="L61" s="86">
        <v>1000</v>
      </c>
      <c r="M61" s="86"/>
      <c r="N61" s="6">
        <v>0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>
        <f t="shared" si="3"/>
        <v>0</v>
      </c>
      <c r="AB61" s="8">
        <f t="shared" si="5"/>
        <v>1000</v>
      </c>
      <c r="AC61" s="83">
        <f t="shared" si="4"/>
        <v>1</v>
      </c>
    </row>
    <row r="62" spans="2:34" ht="45.75" thickBot="1" x14ac:dyDescent="0.3">
      <c r="B62" s="136"/>
      <c r="C62" s="49" t="s">
        <v>42</v>
      </c>
      <c r="D62" s="49" t="s">
        <v>51</v>
      </c>
      <c r="E62" s="87">
        <v>596</v>
      </c>
      <c r="F62" s="87"/>
      <c r="G62" s="87"/>
      <c r="H62" s="87"/>
      <c r="I62" s="87"/>
      <c r="J62" s="87"/>
      <c r="K62" s="87"/>
      <c r="L62" s="87">
        <v>596</v>
      </c>
      <c r="M62" s="87"/>
      <c r="N62" s="72">
        <v>0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>
        <f t="shared" si="3"/>
        <v>0</v>
      </c>
      <c r="AB62" s="92">
        <f t="shared" si="5"/>
        <v>596</v>
      </c>
      <c r="AC62" s="90">
        <f t="shared" si="4"/>
        <v>1</v>
      </c>
    </row>
    <row r="63" spans="2:34" ht="105" x14ac:dyDescent="0.25">
      <c r="B63" s="137" t="s">
        <v>34</v>
      </c>
      <c r="C63" s="32" t="s">
        <v>43</v>
      </c>
      <c r="D63" s="33" t="s">
        <v>53</v>
      </c>
      <c r="E63" s="85">
        <v>988</v>
      </c>
      <c r="F63" s="85"/>
      <c r="G63" s="85"/>
      <c r="H63" s="85"/>
      <c r="I63" s="85"/>
      <c r="J63" s="85"/>
      <c r="K63" s="85">
        <v>577</v>
      </c>
      <c r="L63" s="85">
        <v>219</v>
      </c>
      <c r="M63" s="85">
        <v>42</v>
      </c>
      <c r="N63" s="35">
        <v>15</v>
      </c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5"/>
      <c r="AA63" s="35">
        <f t="shared" si="3"/>
        <v>0</v>
      </c>
      <c r="AB63" s="36">
        <f t="shared" si="5"/>
        <v>853</v>
      </c>
      <c r="AC63" s="37">
        <f t="shared" si="4"/>
        <v>0.86336032388663964</v>
      </c>
    </row>
    <row r="64" spans="2:34" ht="76.5" customHeight="1" x14ac:dyDescent="0.25">
      <c r="B64" s="138"/>
      <c r="C64" s="9" t="s">
        <v>99</v>
      </c>
      <c r="D64" s="9" t="s">
        <v>100</v>
      </c>
      <c r="E64" s="18">
        <v>8</v>
      </c>
      <c r="F64" s="18"/>
      <c r="G64" s="18"/>
      <c r="H64" s="18"/>
      <c r="I64" s="18"/>
      <c r="J64" s="18">
        <v>2</v>
      </c>
      <c r="K64" s="18">
        <v>2</v>
      </c>
      <c r="L64" s="18"/>
      <c r="M64" s="18"/>
      <c r="N64" s="44">
        <v>2</v>
      </c>
      <c r="O64" s="25"/>
      <c r="P64" s="25"/>
      <c r="Q64" s="25"/>
      <c r="R64" s="25">
        <f>1+1</f>
        <v>2</v>
      </c>
      <c r="S64" s="25"/>
      <c r="T64" s="25"/>
      <c r="U64" s="25"/>
      <c r="V64" s="25"/>
      <c r="W64" s="25"/>
      <c r="X64" s="25"/>
      <c r="Y64" s="25"/>
      <c r="Z64" s="44"/>
      <c r="AA64" s="44">
        <f t="shared" si="3"/>
        <v>2</v>
      </c>
      <c r="AB64" s="91">
        <f t="shared" si="5"/>
        <v>8</v>
      </c>
      <c r="AC64" s="40">
        <f t="shared" si="4"/>
        <v>1</v>
      </c>
    </row>
    <row r="65" spans="2:29" ht="30" x14ac:dyDescent="0.25">
      <c r="B65" s="138"/>
      <c r="C65" s="14" t="s">
        <v>87</v>
      </c>
      <c r="D65" s="19" t="s">
        <v>88</v>
      </c>
      <c r="E65" s="86">
        <v>2</v>
      </c>
      <c r="F65" s="86"/>
      <c r="G65" s="86"/>
      <c r="H65" s="86"/>
      <c r="I65" s="86"/>
      <c r="J65" s="86"/>
      <c r="K65" s="86"/>
      <c r="L65" s="86">
        <v>2</v>
      </c>
      <c r="M65" s="86"/>
      <c r="N65" s="7">
        <v>0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7"/>
      <c r="AA65" s="7">
        <f t="shared" si="3"/>
        <v>0</v>
      </c>
      <c r="AB65" s="8">
        <f t="shared" si="5"/>
        <v>2</v>
      </c>
      <c r="AC65" s="38">
        <f t="shared" si="4"/>
        <v>1</v>
      </c>
    </row>
    <row r="66" spans="2:29" ht="30" x14ac:dyDescent="0.25">
      <c r="B66" s="138"/>
      <c r="C66" s="9" t="s">
        <v>89</v>
      </c>
      <c r="D66" s="9" t="s">
        <v>52</v>
      </c>
      <c r="E66" s="18">
        <v>2</v>
      </c>
      <c r="F66" s="18"/>
      <c r="G66" s="18"/>
      <c r="H66" s="18"/>
      <c r="I66" s="18"/>
      <c r="J66" s="18">
        <v>1</v>
      </c>
      <c r="K66" s="18"/>
      <c r="L66" s="18">
        <v>1</v>
      </c>
      <c r="M66" s="18"/>
      <c r="N66" s="44">
        <v>0</v>
      </c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44"/>
      <c r="AA66" s="44">
        <f t="shared" si="3"/>
        <v>0</v>
      </c>
      <c r="AB66" s="91">
        <f t="shared" si="5"/>
        <v>2</v>
      </c>
      <c r="AC66" s="40">
        <f t="shared" si="4"/>
        <v>1</v>
      </c>
    </row>
    <row r="67" spans="2:29" ht="60.75" thickBot="1" x14ac:dyDescent="0.3">
      <c r="B67" s="139"/>
      <c r="C67" s="53" t="s">
        <v>44</v>
      </c>
      <c r="D67" s="54" t="s">
        <v>72</v>
      </c>
      <c r="E67" s="55">
        <v>1</v>
      </c>
      <c r="F67" s="55"/>
      <c r="G67" s="55"/>
      <c r="H67" s="55"/>
      <c r="I67" s="55">
        <v>1</v>
      </c>
      <c r="J67" s="55"/>
      <c r="K67" s="55"/>
      <c r="L67" s="55"/>
      <c r="M67" s="55"/>
      <c r="N67" s="57">
        <v>0</v>
      </c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7"/>
      <c r="AA67" s="57">
        <f t="shared" si="3"/>
        <v>0</v>
      </c>
      <c r="AB67" s="58">
        <f t="shared" si="5"/>
        <v>1</v>
      </c>
      <c r="AC67" s="61">
        <f t="shared" si="4"/>
        <v>1</v>
      </c>
    </row>
    <row r="68" spans="2:29" ht="45" x14ac:dyDescent="0.25">
      <c r="B68" s="134" t="s">
        <v>36</v>
      </c>
      <c r="C68" s="69" t="s">
        <v>45</v>
      </c>
      <c r="D68" s="69" t="s">
        <v>54</v>
      </c>
      <c r="E68" s="39">
        <v>26.1</v>
      </c>
      <c r="F68" s="39"/>
      <c r="G68" s="39"/>
      <c r="H68" s="39"/>
      <c r="I68" s="39"/>
      <c r="J68" s="39"/>
      <c r="K68" s="39"/>
      <c r="L68" s="39"/>
      <c r="M68" s="39"/>
      <c r="N68" s="46">
        <v>2.65</v>
      </c>
      <c r="O68" s="46"/>
      <c r="P68" s="70"/>
      <c r="Q68" s="46"/>
      <c r="R68" s="46">
        <v>11.39</v>
      </c>
      <c r="S68" s="46"/>
      <c r="T68" s="46"/>
      <c r="U68" s="46"/>
      <c r="V68" s="46"/>
      <c r="W68" s="46"/>
      <c r="X68" s="46"/>
      <c r="Y68" s="46"/>
      <c r="Z68" s="46"/>
      <c r="AA68" s="46">
        <f t="shared" si="3"/>
        <v>11.39</v>
      </c>
      <c r="AB68" s="93">
        <f t="shared" si="5"/>
        <v>14.040000000000001</v>
      </c>
      <c r="AC68" s="42">
        <f t="shared" si="4"/>
        <v>0.53793103448275859</v>
      </c>
    </row>
    <row r="69" spans="2:29" ht="75" x14ac:dyDescent="0.25">
      <c r="B69" s="135"/>
      <c r="C69" s="14" t="s">
        <v>46</v>
      </c>
      <c r="D69" s="19" t="s">
        <v>55</v>
      </c>
      <c r="E69" s="86">
        <v>7852</v>
      </c>
      <c r="F69" s="86"/>
      <c r="G69" s="86">
        <v>798</v>
      </c>
      <c r="H69" s="86">
        <v>274</v>
      </c>
      <c r="I69" s="86">
        <v>920</v>
      </c>
      <c r="J69" s="86">
        <v>23</v>
      </c>
      <c r="K69" s="86">
        <v>60</v>
      </c>
      <c r="L69" s="86">
        <v>700</v>
      </c>
      <c r="M69" s="86">
        <v>275</v>
      </c>
      <c r="N69" s="6">
        <v>476</v>
      </c>
      <c r="O69" s="6"/>
      <c r="P69" s="6">
        <v>1</v>
      </c>
      <c r="Q69" s="6">
        <v>7</v>
      </c>
      <c r="R69" s="6">
        <v>7</v>
      </c>
      <c r="S69" s="6"/>
      <c r="T69" s="6">
        <f>5+120</f>
        <v>125</v>
      </c>
      <c r="U69" s="6">
        <v>1</v>
      </c>
      <c r="V69" s="6"/>
      <c r="W69" s="6"/>
      <c r="X69" s="6"/>
      <c r="Y69" s="6"/>
      <c r="Z69" s="6"/>
      <c r="AA69" s="6">
        <f t="shared" si="3"/>
        <v>141</v>
      </c>
      <c r="AB69" s="7">
        <f t="shared" si="5"/>
        <v>3667</v>
      </c>
      <c r="AC69" s="38">
        <f t="shared" si="4"/>
        <v>0.46701477330616403</v>
      </c>
    </row>
    <row r="70" spans="2:29" ht="88.5" customHeight="1" thickBot="1" x14ac:dyDescent="0.3">
      <c r="B70" s="140"/>
      <c r="C70" s="94" t="s">
        <v>47</v>
      </c>
      <c r="D70" s="95" t="s">
        <v>101</v>
      </c>
      <c r="E70" s="96">
        <v>3</v>
      </c>
      <c r="F70" s="96"/>
      <c r="G70" s="96"/>
      <c r="H70" s="96"/>
      <c r="I70" s="96"/>
      <c r="J70" s="96"/>
      <c r="K70" s="96"/>
      <c r="L70" s="96"/>
      <c r="M70" s="96"/>
      <c r="N70" s="45">
        <v>0</v>
      </c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>
        <f t="shared" si="3"/>
        <v>0</v>
      </c>
      <c r="AB70" s="43">
        <f t="shared" si="5"/>
        <v>0</v>
      </c>
      <c r="AC70" s="41">
        <f t="shared" si="4"/>
        <v>0</v>
      </c>
    </row>
    <row r="71" spans="2:29" ht="75" x14ac:dyDescent="0.25">
      <c r="B71" s="141" t="s">
        <v>37</v>
      </c>
      <c r="C71" s="32" t="s">
        <v>96</v>
      </c>
      <c r="D71" s="33" t="s">
        <v>95</v>
      </c>
      <c r="E71" s="85">
        <v>6</v>
      </c>
      <c r="F71" s="85"/>
      <c r="G71" s="85"/>
      <c r="H71" s="85">
        <v>1</v>
      </c>
      <c r="I71" s="85">
        <v>2</v>
      </c>
      <c r="J71" s="85">
        <v>1</v>
      </c>
      <c r="K71" s="85">
        <v>2</v>
      </c>
      <c r="L71" s="85"/>
      <c r="M71" s="85"/>
      <c r="N71" s="34">
        <v>0</v>
      </c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>
        <f t="shared" si="3"/>
        <v>0</v>
      </c>
      <c r="AB71" s="35">
        <f t="shared" si="5"/>
        <v>6</v>
      </c>
      <c r="AC71" s="37">
        <f t="shared" si="4"/>
        <v>1</v>
      </c>
    </row>
    <row r="72" spans="2:29" ht="144.75" customHeight="1" x14ac:dyDescent="0.25">
      <c r="B72" s="142"/>
      <c r="C72" s="68" t="s">
        <v>102</v>
      </c>
      <c r="D72" s="13" t="s">
        <v>105</v>
      </c>
      <c r="E72" s="10">
        <v>3</v>
      </c>
      <c r="F72" s="10"/>
      <c r="G72" s="10"/>
      <c r="H72" s="10">
        <v>1</v>
      </c>
      <c r="I72" s="10"/>
      <c r="J72" s="10"/>
      <c r="K72" s="10"/>
      <c r="L72" s="10"/>
      <c r="M72" s="10"/>
      <c r="N72" s="25">
        <v>0</v>
      </c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>
        <f t="shared" si="3"/>
        <v>0</v>
      </c>
      <c r="AB72" s="44">
        <f t="shared" si="5"/>
        <v>1</v>
      </c>
      <c r="AC72" s="40">
        <f t="shared" si="4"/>
        <v>0.33333333333333331</v>
      </c>
    </row>
    <row r="73" spans="2:29" ht="90.75" thickBot="1" x14ac:dyDescent="0.3">
      <c r="B73" s="143"/>
      <c r="C73" s="53" t="s">
        <v>94</v>
      </c>
      <c r="D73" s="54" t="s">
        <v>97</v>
      </c>
      <c r="E73" s="55">
        <v>4</v>
      </c>
      <c r="F73" s="55"/>
      <c r="G73" s="55"/>
      <c r="H73" s="55"/>
      <c r="I73" s="55"/>
      <c r="J73" s="55"/>
      <c r="K73" s="55">
        <v>1</v>
      </c>
      <c r="L73" s="55">
        <v>1</v>
      </c>
      <c r="M73" s="55">
        <v>1</v>
      </c>
      <c r="N73" s="56">
        <v>0</v>
      </c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>
        <f t="shared" si="3"/>
        <v>0</v>
      </c>
      <c r="AB73" s="57">
        <f t="shared" si="5"/>
        <v>3</v>
      </c>
      <c r="AC73" s="61">
        <f t="shared" si="4"/>
        <v>0.75</v>
      </c>
    </row>
    <row r="74" spans="2:29" ht="90" x14ac:dyDescent="0.25">
      <c r="B74" s="121" t="s">
        <v>38</v>
      </c>
      <c r="C74" s="97" t="s">
        <v>90</v>
      </c>
      <c r="D74" s="98" t="s">
        <v>73</v>
      </c>
      <c r="E74" s="99">
        <v>10</v>
      </c>
      <c r="F74" s="99"/>
      <c r="G74" s="99"/>
      <c r="H74" s="99"/>
      <c r="I74" s="99"/>
      <c r="J74" s="99">
        <v>5</v>
      </c>
      <c r="K74" s="99">
        <v>4</v>
      </c>
      <c r="L74" s="99"/>
      <c r="M74" s="99"/>
      <c r="N74" s="101">
        <v>0</v>
      </c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1"/>
      <c r="AA74" s="101">
        <f t="shared" si="3"/>
        <v>0</v>
      </c>
      <c r="AB74" s="101">
        <f t="shared" si="5"/>
        <v>9</v>
      </c>
      <c r="AC74" s="102">
        <f t="shared" si="4"/>
        <v>0.9</v>
      </c>
    </row>
    <row r="75" spans="2:29" ht="30.75" thickBot="1" x14ac:dyDescent="0.3">
      <c r="B75" s="122"/>
      <c r="C75" s="53" t="s">
        <v>91</v>
      </c>
      <c r="D75" s="54" t="s">
        <v>92</v>
      </c>
      <c r="E75" s="55">
        <v>4</v>
      </c>
      <c r="F75" s="55"/>
      <c r="G75" s="55"/>
      <c r="H75" s="55"/>
      <c r="I75" s="55"/>
      <c r="J75" s="55"/>
      <c r="K75" s="55">
        <v>2</v>
      </c>
      <c r="L75" s="55"/>
      <c r="M75" s="55"/>
      <c r="N75" s="57">
        <v>0</v>
      </c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7"/>
      <c r="AA75" s="57">
        <f t="shared" si="3"/>
        <v>0</v>
      </c>
      <c r="AB75" s="57">
        <f t="shared" si="5"/>
        <v>2</v>
      </c>
      <c r="AC75" s="61">
        <f t="shared" si="4"/>
        <v>0.5</v>
      </c>
    </row>
  </sheetData>
  <autoFilter ref="B58:AD75" xr:uid="{F8931197-07DD-4F96-89F3-4382796C035F}"/>
  <mergeCells count="18">
    <mergeCell ref="B68:B70"/>
    <mergeCell ref="B71:B73"/>
    <mergeCell ref="B74:B75"/>
    <mergeCell ref="B38:B44"/>
    <mergeCell ref="B45:B53"/>
    <mergeCell ref="B55:AC56"/>
    <mergeCell ref="B59:B62"/>
    <mergeCell ref="B63:B67"/>
    <mergeCell ref="B22:AC23"/>
    <mergeCell ref="B25:J25"/>
    <mergeCell ref="B27:AC28"/>
    <mergeCell ref="B32:B33"/>
    <mergeCell ref="B35:B36"/>
    <mergeCell ref="B3:AC3"/>
    <mergeCell ref="B5:J5"/>
    <mergeCell ref="B7:J7"/>
    <mergeCell ref="B9:J9"/>
    <mergeCell ref="B19:J19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Avance General Julio 2022</vt:lpstr>
      <vt:lpstr>Avance General y Detallado FA</vt:lpstr>
      <vt:lpstr>'Avance General Julio 2022'!Área_de_impresión</vt:lpstr>
      <vt:lpstr>'Avance General y Detallado FA'!Área_de_impresión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Mauricio Bustos Quintero</dc:creator>
  <cp:lastModifiedBy>Diego Mauricio Bustos Quintero</cp:lastModifiedBy>
  <cp:lastPrinted>2021-12-23T17:42:53Z</cp:lastPrinted>
  <dcterms:created xsi:type="dcterms:W3CDTF">2021-12-16T14:30:38Z</dcterms:created>
  <dcterms:modified xsi:type="dcterms:W3CDTF">2022-08-18T17:13:58Z</dcterms:modified>
</cp:coreProperties>
</file>