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ferserrano\Downloads\"/>
    </mc:Choice>
  </mc:AlternateContent>
  <xr:revisionPtr revIDLastSave="0" documentId="13_ncr:1_{1A201D71-9793-4E44-B485-86E015B7CB91}" xr6:coauthVersionLast="47" xr6:coauthVersionMax="47" xr10:uidLastSave="{00000000-0000-0000-0000-000000000000}"/>
  <bookViews>
    <workbookView xWindow="1905" yWindow="0" windowWidth="14400" windowHeight="15600" firstSheet="2" activeTab="2" xr2:uid="{29D925F5-A06B-4698-BBE4-3E5BBEBB5E3A}"/>
  </bookViews>
  <sheets>
    <sheet name="Avance General y Det DIC2022 FA" sheetId="7" state="hidden" r:id="rId1"/>
    <sheet name="Avance General y Det MARZ 2023" sheetId="8" state="hidden" r:id="rId2"/>
    <sheet name="Avance General y Det JUNIO 2023" sheetId="6" r:id="rId3"/>
  </sheets>
  <definedNames>
    <definedName name="_xlnm._FilterDatabase" localSheetId="0" hidden="1">'Avance General y Det DIC2022 FA'!$B$59:$AC$76</definedName>
    <definedName name="_xlnm._FilterDatabase" localSheetId="2" hidden="1">'Avance General y Det JUNIO 2023'!$B$31:$AD$31</definedName>
    <definedName name="_xlnm._FilterDatabase" localSheetId="1" hidden="1">'Avance General y Det MARZ 2023'!$B$31:$AD$31</definedName>
    <definedName name="_xlnm.Print_Area" localSheetId="0">'Avance General y Det DIC2022 FA'!$B$30:$AB$59</definedName>
    <definedName name="_xlnm.Print_Area" localSheetId="2">'Avance General y Det JUNIO 2023'!$B$31:$AC$60</definedName>
    <definedName name="_xlnm.Print_Area" localSheetId="1">'Avance General y Det MARZ 2023'!$B$31:$AC$60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7" i="6" l="1"/>
  <c r="AC77" i="8" l="1"/>
  <c r="AD77" i="8" s="1"/>
  <c r="AB77" i="8"/>
  <c r="AB76" i="8"/>
  <c r="AC76" i="8" s="1"/>
  <c r="AD76" i="8" s="1"/>
  <c r="AC75" i="8"/>
  <c r="AD75" i="8" s="1"/>
  <c r="AB75" i="8"/>
  <c r="AC74" i="8"/>
  <c r="AD74" i="8" s="1"/>
  <c r="AB74" i="8"/>
  <c r="AC73" i="8"/>
  <c r="AD73" i="8" s="1"/>
  <c r="AB73" i="8"/>
  <c r="AC72" i="8"/>
  <c r="AD72" i="8" s="1"/>
  <c r="AB72" i="8"/>
  <c r="AC71" i="8"/>
  <c r="AD71" i="8" s="1"/>
  <c r="AB71" i="8"/>
  <c r="AC70" i="8"/>
  <c r="AD70" i="8" s="1"/>
  <c r="AB70" i="8"/>
  <c r="AC69" i="8"/>
  <c r="AD69" i="8" s="1"/>
  <c r="AB69" i="8"/>
  <c r="AC68" i="8"/>
  <c r="AD68" i="8" s="1"/>
  <c r="AB68" i="8"/>
  <c r="AC67" i="8"/>
  <c r="AD67" i="8" s="1"/>
  <c r="AB67" i="8"/>
  <c r="AC66" i="8"/>
  <c r="AD66" i="8" s="1"/>
  <c r="AB66" i="8"/>
  <c r="AC65" i="8"/>
  <c r="AD65" i="8" s="1"/>
  <c r="AB65" i="8"/>
  <c r="AC64" i="8"/>
  <c r="AD64" i="8" s="1"/>
  <c r="AB64" i="8"/>
  <c r="AC63" i="8"/>
  <c r="AD63" i="8" s="1"/>
  <c r="AB63" i="8"/>
  <c r="AC62" i="8"/>
  <c r="AD62" i="8" s="1"/>
  <c r="AB62" i="8"/>
  <c r="AC61" i="8"/>
  <c r="AD61" i="8" s="1"/>
  <c r="AB61" i="8"/>
  <c r="AC55" i="8"/>
  <c r="AD55" i="8" s="1"/>
  <c r="AB55" i="8"/>
  <c r="AC54" i="8"/>
  <c r="AD54" i="8" s="1"/>
  <c r="AB54" i="8"/>
  <c r="AB53" i="8"/>
  <c r="K53" i="8"/>
  <c r="L53" i="8" s="1"/>
  <c r="AB52" i="8"/>
  <c r="J52" i="8"/>
  <c r="K52" i="8" s="1"/>
  <c r="AB51" i="8"/>
  <c r="J51" i="8"/>
  <c r="AB50" i="8"/>
  <c r="AC50" i="8" s="1"/>
  <c r="AD50" i="8" s="1"/>
  <c r="AB49" i="8"/>
  <c r="AC49" i="8" s="1"/>
  <c r="AD49" i="8" s="1"/>
  <c r="AB48" i="8"/>
  <c r="AC48" i="8" s="1"/>
  <c r="AD48" i="8" s="1"/>
  <c r="K48" i="8"/>
  <c r="AB47" i="8"/>
  <c r="AC47" i="8" s="1"/>
  <c r="AD47" i="8" s="1"/>
  <c r="K47" i="8"/>
  <c r="AC46" i="8"/>
  <c r="AD46" i="8" s="1"/>
  <c r="AB46" i="8"/>
  <c r="AC45" i="8"/>
  <c r="AD45" i="8" s="1"/>
  <c r="AB45" i="8"/>
  <c r="AC44" i="8"/>
  <c r="AD44" i="8" s="1"/>
  <c r="AB44" i="8"/>
  <c r="AC43" i="8"/>
  <c r="AD43" i="8" s="1"/>
  <c r="AB43" i="8"/>
  <c r="AC42" i="8"/>
  <c r="AD42" i="8" s="1"/>
  <c r="AB42" i="8"/>
  <c r="AC41" i="8"/>
  <c r="AD41" i="8" s="1"/>
  <c r="AB41" i="8"/>
  <c r="AC40" i="8"/>
  <c r="AD40" i="8" s="1"/>
  <c r="AB40" i="8"/>
  <c r="AC39" i="8"/>
  <c r="AD39" i="8" s="1"/>
  <c r="AB39" i="8"/>
  <c r="AB38" i="8"/>
  <c r="J38" i="8"/>
  <c r="K38" i="8" s="1"/>
  <c r="AB37" i="8"/>
  <c r="AC37" i="8" s="1"/>
  <c r="AD37" i="8" s="1"/>
  <c r="AB36" i="8"/>
  <c r="AC36" i="8" s="1"/>
  <c r="AD36" i="8" s="1"/>
  <c r="AB35" i="8"/>
  <c r="AC35" i="8" s="1"/>
  <c r="AD35" i="8" s="1"/>
  <c r="K35" i="8"/>
  <c r="L35" i="8" s="1"/>
  <c r="M35" i="8" s="1"/>
  <c r="AB34" i="8"/>
  <c r="J34" i="8"/>
  <c r="AB33" i="8"/>
  <c r="K33" i="8"/>
  <c r="L33" i="8" s="1"/>
  <c r="J33" i="8"/>
  <c r="AC32" i="8"/>
  <c r="AD32" i="8" s="1"/>
  <c r="AB32" i="8"/>
  <c r="L38" i="8" l="1"/>
  <c r="M38" i="8" s="1"/>
  <c r="M33" i="8"/>
  <c r="AC33" i="8" s="1"/>
  <c r="AD33" i="8" s="1"/>
  <c r="AC52" i="8"/>
  <c r="AD52" i="8" s="1"/>
  <c r="K51" i="8"/>
  <c r="L51" i="8" s="1"/>
  <c r="AC53" i="8"/>
  <c r="AD53" i="8" s="1"/>
  <c r="K34" i="8"/>
  <c r="AC38" i="8" l="1"/>
  <c r="AD38" i="8" s="1"/>
  <c r="M34" i="8"/>
  <c r="L34" i="8"/>
  <c r="AC51" i="8"/>
  <c r="AD51" i="8" s="1"/>
  <c r="AC34" i="8" l="1"/>
  <c r="AD34" i="8" s="1"/>
  <c r="AA76" i="7" l="1"/>
  <c r="AB76" i="7" s="1"/>
  <c r="AC76" i="7" s="1"/>
  <c r="AA75" i="7"/>
  <c r="AB75" i="7" s="1"/>
  <c r="AC75" i="7" s="1"/>
  <c r="AA74" i="7"/>
  <c r="AB74" i="7" s="1"/>
  <c r="AC74" i="7" s="1"/>
  <c r="AA73" i="7"/>
  <c r="AB73" i="7" s="1"/>
  <c r="AC73" i="7" s="1"/>
  <c r="AA72" i="7"/>
  <c r="AB72" i="7" s="1"/>
  <c r="AC72" i="7" s="1"/>
  <c r="AA71" i="7"/>
  <c r="AB71" i="7" s="1"/>
  <c r="AC71" i="7" s="1"/>
  <c r="T70" i="7"/>
  <c r="AA70" i="7" s="1"/>
  <c r="AB70" i="7" s="1"/>
  <c r="AC70" i="7" s="1"/>
  <c r="AA69" i="7"/>
  <c r="AB69" i="7" s="1"/>
  <c r="AC69" i="7" s="1"/>
  <c r="AA68" i="7"/>
  <c r="AB68" i="7" s="1"/>
  <c r="AC68" i="7" s="1"/>
  <c r="AA67" i="7"/>
  <c r="AB67" i="7" s="1"/>
  <c r="AC67" i="7" s="1"/>
  <c r="AA66" i="7"/>
  <c r="AB66" i="7" s="1"/>
  <c r="AC66" i="7" s="1"/>
  <c r="AA65" i="7"/>
  <c r="AB65" i="7" s="1"/>
  <c r="AC65" i="7" s="1"/>
  <c r="R65" i="7"/>
  <c r="AB64" i="7"/>
  <c r="AC64" i="7" s="1"/>
  <c r="AA64" i="7"/>
  <c r="AB63" i="7"/>
  <c r="AC63" i="7" s="1"/>
  <c r="AA63" i="7"/>
  <c r="AB62" i="7"/>
  <c r="AC62" i="7" s="1"/>
  <c r="AA62" i="7"/>
  <c r="AB61" i="7"/>
  <c r="AC61" i="7" s="1"/>
  <c r="AA61" i="7"/>
  <c r="AB60" i="7"/>
  <c r="AC60" i="7" s="1"/>
  <c r="AA60" i="7"/>
  <c r="AB54" i="7"/>
  <c r="AC54" i="7" s="1"/>
  <c r="AA54" i="7"/>
  <c r="AB53" i="7"/>
  <c r="AC53" i="7" s="1"/>
  <c r="AA53" i="7"/>
  <c r="AA52" i="7"/>
  <c r="K52" i="7"/>
  <c r="L52" i="7" s="1"/>
  <c r="AB52" i="7" s="1"/>
  <c r="AC52" i="7" s="1"/>
  <c r="AA51" i="7"/>
  <c r="J51" i="7"/>
  <c r="K51" i="7" s="1"/>
  <c r="AB51" i="7" s="1"/>
  <c r="AC51" i="7" s="1"/>
  <c r="AA50" i="7"/>
  <c r="J50" i="7"/>
  <c r="K50" i="7" s="1"/>
  <c r="AA49" i="7"/>
  <c r="AB49" i="7" s="1"/>
  <c r="AC49" i="7" s="1"/>
  <c r="AA48" i="7"/>
  <c r="AB48" i="7" s="1"/>
  <c r="AC48" i="7" s="1"/>
  <c r="AA47" i="7"/>
  <c r="K47" i="7"/>
  <c r="AB47" i="7" s="1"/>
  <c r="AC47" i="7" s="1"/>
  <c r="AA46" i="7"/>
  <c r="K46" i="7"/>
  <c r="AB46" i="7" s="1"/>
  <c r="AC46" i="7" s="1"/>
  <c r="AB44" i="7"/>
  <c r="AC44" i="7" s="1"/>
  <c r="AA44" i="7"/>
  <c r="AB43" i="7"/>
  <c r="AC43" i="7" s="1"/>
  <c r="AA43" i="7"/>
  <c r="AB42" i="7"/>
  <c r="AC42" i="7" s="1"/>
  <c r="AA42" i="7"/>
  <c r="AB41" i="7"/>
  <c r="AC41" i="7" s="1"/>
  <c r="AA41" i="7"/>
  <c r="AB40" i="7"/>
  <c r="AC40" i="7" s="1"/>
  <c r="AA40" i="7"/>
  <c r="AB39" i="7"/>
  <c r="AC39" i="7" s="1"/>
  <c r="AA39" i="7"/>
  <c r="AB38" i="7"/>
  <c r="AC38" i="7" s="1"/>
  <c r="AA38" i="7"/>
  <c r="AA37" i="7"/>
  <c r="J37" i="7"/>
  <c r="K37" i="7" s="1"/>
  <c r="AA36" i="7"/>
  <c r="AB36" i="7" s="1"/>
  <c r="AC36" i="7" s="1"/>
  <c r="AA35" i="7"/>
  <c r="AB35" i="7" s="1"/>
  <c r="AC35" i="7" s="1"/>
  <c r="AA34" i="7"/>
  <c r="K34" i="7"/>
  <c r="L34" i="7" s="1"/>
  <c r="AA33" i="7"/>
  <c r="J33" i="7"/>
  <c r="AA32" i="7"/>
  <c r="K32" i="7"/>
  <c r="J32" i="7"/>
  <c r="AB31" i="7"/>
  <c r="AC31" i="7" s="1"/>
  <c r="AA31" i="7"/>
  <c r="L37" i="7" l="1"/>
  <c r="M37" i="7" s="1"/>
  <c r="AB37" i="7" s="1"/>
  <c r="AC37" i="7" s="1"/>
  <c r="AB34" i="7"/>
  <c r="AC34" i="7" s="1"/>
  <c r="M34" i="7"/>
  <c r="M32" i="7"/>
  <c r="AB50" i="7"/>
  <c r="AC50" i="7" s="1"/>
  <c r="L50" i="7"/>
  <c r="L32" i="7"/>
  <c r="K33" i="7"/>
  <c r="L33" i="7" l="1"/>
  <c r="AB32" i="7"/>
  <c r="AC32" i="7" s="1"/>
  <c r="M33" i="7" l="1"/>
  <c r="AB33" i="7" s="1"/>
  <c r="AC33" i="7" s="1"/>
  <c r="AC45" i="6" l="1"/>
  <c r="AB46" i="6"/>
  <c r="AC46" i="6" s="1"/>
  <c r="AD46" i="6" s="1"/>
  <c r="AC77" i="6"/>
  <c r="AB76" i="6"/>
  <c r="AC76" i="6" s="1"/>
  <c r="AB75" i="6"/>
  <c r="AB74" i="6"/>
  <c r="AB73" i="6"/>
  <c r="AC73" i="6" s="1"/>
  <c r="AB72" i="6"/>
  <c r="AB71" i="6"/>
  <c r="AC71" i="6" s="1"/>
  <c r="AB70" i="6"/>
  <c r="AC70" i="6" s="1"/>
  <c r="AB69" i="6"/>
  <c r="AB68" i="6"/>
  <c r="AB67" i="6"/>
  <c r="AC67" i="6" s="1"/>
  <c r="AB66" i="6"/>
  <c r="AB65" i="6"/>
  <c r="AB64" i="6"/>
  <c r="AC64" i="6" s="1"/>
  <c r="AB63" i="6"/>
  <c r="AB62" i="6"/>
  <c r="AB61" i="6"/>
  <c r="AC61" i="6" s="1"/>
  <c r="AB55" i="6"/>
  <c r="AB54" i="6"/>
  <c r="AB53" i="6"/>
  <c r="K53" i="6"/>
  <c r="L53" i="6" s="1"/>
  <c r="AB52" i="6"/>
  <c r="J52" i="6"/>
  <c r="K52" i="6" s="1"/>
  <c r="AB51" i="6"/>
  <c r="J51" i="6"/>
  <c r="K51" i="6" s="1"/>
  <c r="L51" i="6" s="1"/>
  <c r="AB50" i="6"/>
  <c r="AC50" i="6" s="1"/>
  <c r="AB49" i="6"/>
  <c r="AC49" i="6" s="1"/>
  <c r="AB48" i="6"/>
  <c r="K48" i="6"/>
  <c r="AC48" i="6" s="1"/>
  <c r="AB47" i="6"/>
  <c r="K47" i="6"/>
  <c r="AB45" i="6"/>
  <c r="AB44" i="6"/>
  <c r="AC44" i="6" s="1"/>
  <c r="AB43" i="6"/>
  <c r="AC43" i="6" s="1"/>
  <c r="AB42" i="6"/>
  <c r="AB41" i="6"/>
  <c r="AB40" i="6"/>
  <c r="AC40" i="6" s="1"/>
  <c r="AB39" i="6"/>
  <c r="AC39" i="6" s="1"/>
  <c r="AB38" i="6"/>
  <c r="J38" i="6"/>
  <c r="K38" i="6" s="1"/>
  <c r="L38" i="6" s="1"/>
  <c r="AB37" i="6"/>
  <c r="AC37" i="6" s="1"/>
  <c r="AB36" i="6"/>
  <c r="AB35" i="6"/>
  <c r="K35" i="6"/>
  <c r="L35" i="6" s="1"/>
  <c r="M35" i="6" s="1"/>
  <c r="AB34" i="6"/>
  <c r="J34" i="6"/>
  <c r="K34" i="6" s="1"/>
  <c r="AB33" i="6"/>
  <c r="J33" i="6"/>
  <c r="AB32" i="6"/>
  <c r="AC32" i="6" s="1"/>
  <c r="AC47" i="6" l="1"/>
  <c r="AC51" i="6"/>
  <c r="AC53" i="6"/>
  <c r="AD53" i="6" s="1"/>
  <c r="AC35" i="6"/>
  <c r="AD35" i="6" s="1"/>
  <c r="AC52" i="6"/>
  <c r="AC66" i="6"/>
  <c r="AC65" i="6"/>
  <c r="AD65" i="6" s="1"/>
  <c r="AC75" i="6"/>
  <c r="AC69" i="6"/>
  <c r="AD69" i="6" s="1"/>
  <c r="AC63" i="6"/>
  <c r="AD63" i="6" s="1"/>
  <c r="AC72" i="6"/>
  <c r="AC74" i="6"/>
  <c r="AD74" i="6" s="1"/>
  <c r="AC68" i="6"/>
  <c r="AC62" i="6"/>
  <c r="AD71" i="6"/>
  <c r="AD49" i="6"/>
  <c r="AC41" i="6"/>
  <c r="AC54" i="6"/>
  <c r="AD54" i="6" s="1"/>
  <c r="AC55" i="6"/>
  <c r="AC42" i="6"/>
  <c r="AD42" i="6" s="1"/>
  <c r="AC36" i="6"/>
  <c r="AD77" i="6"/>
  <c r="AD64" i="6"/>
  <c r="AD70" i="6"/>
  <c r="AD76" i="6"/>
  <c r="AD67" i="6"/>
  <c r="AD73" i="6"/>
  <c r="AD61" i="6"/>
  <c r="AD39" i="6"/>
  <c r="AD45" i="6"/>
  <c r="AD37" i="6"/>
  <c r="AD43" i="6"/>
  <c r="AD44" i="6"/>
  <c r="AD40" i="6"/>
  <c r="AD47" i="6"/>
  <c r="AD50" i="6"/>
  <c r="AD32" i="6"/>
  <c r="AD48" i="6"/>
  <c r="L34" i="6"/>
  <c r="AD52" i="6"/>
  <c r="M38" i="6"/>
  <c r="AD51" i="6"/>
  <c r="K33" i="6"/>
  <c r="L33" i="6" s="1"/>
  <c r="M34" i="6" l="1"/>
  <c r="AC34" i="6"/>
  <c r="AD34" i="6" s="1"/>
  <c r="AC38" i="6"/>
  <c r="AD38" i="6" s="1"/>
  <c r="AD75" i="6"/>
  <c r="AD68" i="6"/>
  <c r="AD62" i="6"/>
  <c r="AD72" i="6"/>
  <c r="AD66" i="6"/>
  <c r="AD41" i="6"/>
  <c r="AD55" i="6"/>
  <c r="AD36" i="6"/>
  <c r="M33" i="6"/>
  <c r="AC33" i="6" l="1"/>
  <c r="AD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tc={DD35355F-7FC5-4F71-AF2D-ED174F9049A9}</author>
    <author>tc={2A96530A-BD3F-4207-AFA5-EF5D3F6D69B4}</author>
    <author>tc={6EF1C3DF-E16A-48C2-A020-4531FEBC89B3}</author>
    <author>tc={E0882341-2EA2-4F43-BC6A-92523D695E21}</author>
    <author>tc={6316F24F-90B4-40A0-8093-B906EA99F5AF}</author>
    <author>tc={CB2661C2-3A06-470A-9960-5C6C1DB91A8E}</author>
    <author>tc={1E8D7826-BB8F-465A-A441-B09140812022}</author>
    <author>tc={3FE0347C-5E34-4C3C-A477-5C678BBD2C34}</author>
    <author>tc={06D07166-AC8F-4549-9C5D-126DF4F4C942}</author>
    <author>tc={FC51D8DB-B36C-4DA5-A730-76715A33942F}</author>
    <author>tc={99D41896-7DF6-4411-AF73-ED38CD2058F5}</author>
    <author>tc={5FBEE954-DBBA-4470-8B15-68C0D659EB53}</author>
  </authors>
  <commentList>
    <comment ref="E37" authorId="0" shapeId="0" xr:uid="{DD35355F-7FC5-4F71-AF2D-ED174F904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7" authorId="1" shapeId="0" xr:uid="{2A96530A-BD3F-4207-AFA5-EF5D3F6D69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7" authorId="2" shapeId="0" xr:uid="{6EF1C3DF-E16A-48C2-A020-4531FEBC8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0" authorId="3" shapeId="0" xr:uid="{E0882341-2EA2-4F43-BC6A-92523D695E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0" authorId="4" shapeId="0" xr:uid="{6316F24F-90B4-40A0-8093-B906EA99F5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0" authorId="5" shapeId="0" xr:uid="{CB2661C2-3A06-470A-9960-5C6C1DB91A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0" authorId="6" shapeId="0" xr:uid="{1E8D7826-BB8F-465A-A441-B091408120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1" authorId="7" shapeId="0" xr:uid="{3FE0347C-5E34-4C3C-A477-5C678BBD2C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1" authorId="8" shapeId="0" xr:uid="{06D07166-AC8F-4549-9C5D-126DF4F4C9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1" authorId="9" shapeId="0" xr:uid="{FC51D8DB-B36C-4DA5-A730-76715A3394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1" authorId="10" shapeId="0" xr:uid="{99D41896-7DF6-4411-AF73-ED38CD2058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2" authorId="11" shapeId="0" xr:uid="{5FBEE954-DBBA-4470-8B15-68C0D659EB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tc={EF4C1C68-4178-4662-866D-2F9C83B5C2D0}</author>
    <author>tc={7A953409-2B71-4BA0-9B07-BE723414BE47}</author>
    <author>tc={3C8B40C7-48CF-448C-8BF5-06EE7A78AE22}</author>
    <author>tc={3EA813AE-4381-4A9B-AD1A-14080F6C9713}</author>
    <author>tc={7109A98B-061F-4761-9CAA-5BF3525BEB2A}</author>
    <author>tc={54D79046-CBE1-49E8-BE06-1675526F7E50}</author>
    <author>tc={914ACA96-65B6-4172-9C38-798F3BF4E3F3}</author>
    <author>tc={DC511065-993D-4783-8BAF-8C1886A5AAE5}</author>
    <author>tc={486D9798-341C-4A04-BBF8-A3BC911B038D}</author>
    <author>tc={BA79290A-C9D5-4BE3-9A31-B0336E5D66B6}</author>
    <author>tc={F12EF3C2-9F6D-4175-9BEA-B39BBF526658}</author>
    <author>tc={69423C7A-4B11-4BBD-9239-CFF8E09705C5}</author>
  </authors>
  <commentList>
    <comment ref="E38" authorId="0" shapeId="0" xr:uid="{EF4C1C68-4178-4662-866D-2F9C83B5C2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7A953409-2B71-4BA0-9B07-BE723414BE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3C8B40C7-48CF-448C-8BF5-06EE7A78AE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3EA813AE-4381-4A9B-AD1A-14080F6C97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7109A98B-061F-4761-9CAA-5BF3525BEB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54D79046-CBE1-49E8-BE06-1675526F7E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914ACA96-65B6-4172-9C38-798F3BF4E3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DC511065-993D-4783-8BAF-8C1886A5A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486D9798-341C-4A04-BBF8-A3BC911B03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BA79290A-C9D5-4BE3-9A31-B0336E5D66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F12EF3C2-9F6D-4175-9BEA-B39BBF5266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69423C7A-4B11-4BBD-9239-CFF8E09705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tc={C3F3E3FC-8D86-459B-A975-104B35F65A69}</author>
    <author>tc={36A1ECF5-5F54-4453-A244-18F59C1C0E36}</author>
    <author>tc={E717B550-46AF-46F0-B220-B6AB7F03A324}</author>
    <author>tc={E0286825-568F-4AA8-ADBB-038967F797AE}</author>
    <author>tc={39BD9C14-9961-43E8-95C3-0F14501D9F15}</author>
    <author>tc={8411A765-0B38-4F50-92C3-38F8959423F6}</author>
    <author>tc={A2941EE5-AC05-418D-AE89-32BACEC62D60}</author>
    <author>tc={B89DE47C-813C-45A8-B582-B13B1B1F1BEE}</author>
    <author>tc={E7B8CB82-9AF9-4602-A27A-C04B8641DE15}</author>
    <author>tc={8AD88D95-60E4-4E93-A654-83C503DE7BBB}</author>
    <author>tc={0180B56B-75A3-4A37-8D45-B4CE5BC91170}</author>
    <author>tc={363F33E0-ED42-4681-BC6E-8A3E05C69E5D}</author>
  </authors>
  <commentList>
    <comment ref="E38" authorId="0" shapeId="0" xr:uid="{C3F3E3FC-8D86-459B-A975-104B35F65A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36A1ECF5-5F54-4453-A244-18F59C1C0E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717B550-46AF-46F0-B220-B6AB7F03A3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E0286825-568F-4AA8-ADBB-038967F797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39BD9C14-9961-43E8-95C3-0F14501D9F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8411A765-0B38-4F50-92C3-38F895942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A2941EE5-AC05-418D-AE89-32BACEC62D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B89DE47C-813C-45A8-B582-B13B1B1F1B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E7B8CB82-9AF9-4602-A27A-C04B8641DE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8AD88D95-60E4-4E93-A654-83C503DE7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0180B56B-75A3-4A37-8D45-B4CE5BC911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363F33E0-ED42-4681-BC6E-8A3E05C69E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sharedStrings.xml><?xml version="1.0" encoding="utf-8"?>
<sst xmlns="http://schemas.openxmlformats.org/spreadsheetml/2006/main" count="388" uniqueCount="144">
  <si>
    <t>Sector</t>
  </si>
  <si>
    <t>Producto</t>
  </si>
  <si>
    <t>Descripción del Producto</t>
  </si>
  <si>
    <t>Vivienda</t>
  </si>
  <si>
    <t>Soluciones de vivienda*</t>
  </si>
  <si>
    <t xml:space="preserve">Agua y Saneamiento Básico </t>
  </si>
  <si>
    <t>Sistemas de Acueducto</t>
  </si>
  <si>
    <t>Sistemas de Alcantarillado</t>
  </si>
  <si>
    <t>Rehabilitación y adecuación de redes de alcantarillado afectados por el fenómeno de La Niña 2010 - 2011</t>
  </si>
  <si>
    <t>Salud</t>
  </si>
  <si>
    <t>IPS</t>
  </si>
  <si>
    <t>Transporte</t>
  </si>
  <si>
    <t>Sitios críticos</t>
  </si>
  <si>
    <t>Reconstrucción y adecuación de tramos de vía afectados por el fenómeno de La Niña 2010 - 2011</t>
  </si>
  <si>
    <t>Estructuraciones integrales</t>
  </si>
  <si>
    <t>Educación</t>
  </si>
  <si>
    <t>Instituciones educativas</t>
  </si>
  <si>
    <t>Reactivación económica</t>
  </si>
  <si>
    <t>Alianzas productivas apoyadas</t>
  </si>
  <si>
    <t>Apoyo a organizaciones de pequeños ´productores vinculados a un sistema productivo con un acuerdo comercial para su producción quienes vieron su actividad económica por el fenómeno de La Niña 2010 - 2011</t>
  </si>
  <si>
    <t xml:space="preserve">Oportunidades rurales </t>
  </si>
  <si>
    <t>Apoyo a Organizaciones  de pequeños productores vinculados a un negocio rural, cuya actividad económica se vio afectada por el fenómeno de La Niña 2010 - 2011</t>
  </si>
  <si>
    <t>Distritos de adecuación de tierras (Estudios de factibilidad)</t>
  </si>
  <si>
    <t>El objeto del proyecto consiste en la elaboración de los estudios de factibilidad de cuatro distritos de adecuación de tierras</t>
  </si>
  <si>
    <t xml:space="preserve">Proyectos reactivar </t>
  </si>
  <si>
    <t>Estructurar y poner en ejecución proyectos regionales de Reactivación Económica, para grupos asociativos de pequeños productores o propenderá por su asociación, estos grupos de personas vieron afectada su actividad económica por el fenómeno de La Niña 2010 - 2011</t>
  </si>
  <si>
    <t>Sistemas de producción adaptadas al cambio climático identificados</t>
  </si>
  <si>
    <t>Sistemas de producción adaptadas al cambio climático entregados</t>
  </si>
  <si>
    <t>Acompañamiento Proyectos Reactivar urbanos o mixtos entregado</t>
  </si>
  <si>
    <t>Medio ambiente</t>
  </si>
  <si>
    <t>Estaciones hidrometeorológicas nuevas</t>
  </si>
  <si>
    <t>Estaciones hidrometeorológicas repotenciadas</t>
  </si>
  <si>
    <t>Hectáreas recuperadas / reforestadas</t>
  </si>
  <si>
    <t>Macroproyecto</t>
  </si>
  <si>
    <t>Gramalote</t>
  </si>
  <si>
    <t>Canal del Dique</t>
  </si>
  <si>
    <t>Jarillón de Cali</t>
  </si>
  <si>
    <t>La Mojana</t>
  </si>
  <si>
    <t>Rio Fonce</t>
  </si>
  <si>
    <t>Metros Lineales de Dique *</t>
  </si>
  <si>
    <t>Protección Centros Poblados y Tramos Viales</t>
  </si>
  <si>
    <t>Familias, Beneficiadas con Iniciativas Productivas</t>
  </si>
  <si>
    <t>Personas Formadas en Gestión del Riesgo</t>
  </si>
  <si>
    <t>Viviendas</t>
  </si>
  <si>
    <t>Acueducto y Saneamiento Básico</t>
  </si>
  <si>
    <t>Reforzamiento de Jarillón (Kms)</t>
  </si>
  <si>
    <t>Soluciones de Vivienda</t>
  </si>
  <si>
    <t>Infraestructura Vital PTAP</t>
  </si>
  <si>
    <t>Estructuración Integral para los proyectos de corredores viales afectados por los eventos derivados del Fenómeno de La Niña 2010-2011</t>
  </si>
  <si>
    <t xml:space="preserve">Protección de 10 centros poblados, 2 tramos viales y un (1) punto crítico con 52.506 metros lineales de dique en los departamentos de Atlántico y Bolívar. </t>
  </si>
  <si>
    <t>Realizar aporte y/o acompañamiento a familias para iniciativas productivas en el corregimiento de Gambote, Departamento de Bolívar.</t>
  </si>
  <si>
    <t xml:space="preserve">Formación en gestión del riesgo a personas del área de influencia del macroproyecto de Canal del dique. </t>
  </si>
  <si>
    <t>Construcción de 8,8 Km + puentes vehiculares</t>
  </si>
  <si>
    <t>Diseño, Construcción y Entrega viviendas para la población del municipio de Gramalote  segmentada en 3 Tipologías: Tipo 1 - de una planta y 69,03 m2, Tipo 2 - de 2 plantas y 73,29 m2, Tipo 5 - de 1 planta y 77,41 m2, Tipo 6 - de 3 plantas y 73,01 m2</t>
  </si>
  <si>
    <t>Diseño, construcción y entrega del realce y reforzamiento de jarillones y obras de protección de orillas</t>
  </si>
  <si>
    <t>Entrega de soluciones de vivienda en el marco del componente de Reducción de la Vulnerabilidad Física y Social frente a la Amenaza por Inundación - Oferta de vivienda</t>
  </si>
  <si>
    <t>POMCA actualizados</t>
  </si>
  <si>
    <t>POMCA formulados</t>
  </si>
  <si>
    <t>Insumos para la delimitación de páramos</t>
  </si>
  <si>
    <t>Insumos para la delimitación de ecosistemas estratégicos (páramos) en las cuencas priorizadas para su protección y para la regulación hídrica como medida de prevención del riesgo</t>
  </si>
  <si>
    <t>Insumos para la delimitación de humedales pilotos</t>
  </si>
  <si>
    <t>Insumos para la delimitación de ecosistemas estratégicos (humedales pilotos) en las cuencas priorizadas para su protección y para la regulación hídrica como medida de prevención del riesgo</t>
  </si>
  <si>
    <t>Radares Meteorológicos</t>
  </si>
  <si>
    <t>Instalación y puesta en funcionamiento de Radares meteorológicos de apoyo al sistema de alertas tempranas del país como medida de reducción del riesgo en las cuencas priorizadas</t>
  </si>
  <si>
    <t>Herramienta de información entregada</t>
  </si>
  <si>
    <t>Diseño e implementación de una herramienta de información para la toma de decisiones en materia de ordenamiento ambiental del territorio</t>
  </si>
  <si>
    <t>Recuperar, rehabilitar y proteger 11.000 hectáreas en zonas prioritarias para la regulación y recarga hídrica, que contribuyan a prevenir y mitigar inundaciones, deslizamientos y avalanchas en territorios afectados por el fenómeno de la Niña 2010-2011</t>
  </si>
  <si>
    <t>AVANCE EN EL CUMPLIMIENTO DE LA POLITICA Y MISION DEL FONDO ADAPTACION</t>
  </si>
  <si>
    <t>AVANCE EN EL CUMPLIMIENTO DE LA POLITICA Y MISION DEL FONDO ADAPTACION - SECTORES</t>
  </si>
  <si>
    <t>AVANCE EN EL CUMPLIMIENTO DE LA POLITICA Y MISION DEL FONDO ADAPTACION - MACROPYOECTOS Y PROYECTO</t>
  </si>
  <si>
    <t>Año</t>
  </si>
  <si>
    <t xml:space="preserve">Porcentaje (%) Ejecutado </t>
  </si>
  <si>
    <t>Diseño y Construcción del sistema de acueducto incluyendo PTAR - PTAP, Desarenador, Captador, línea de conducción.</t>
  </si>
  <si>
    <t>Construcción de bordillos de vía, Construcción de muros de contención, Construcción de canal escalonado con tanque amortiguador, Construcción Estructura de Descole Sumidero Transversal.</t>
  </si>
  <si>
    <t>AVANCE PONDERADO FONDO ADAPTACION</t>
  </si>
  <si>
    <t xml:space="preserve">Meta Total </t>
  </si>
  <si>
    <t>Instituciones Prestadoras de Salud - IPS  que fueron  afectadas por el fenómeno de La Niña 2010 - 2011 entregadas y dotadas</t>
  </si>
  <si>
    <t xml:space="preserve">Rehabilitación de sistemas de acueducto afectados por el fenómeno de La Niña 2010 - 2011 </t>
  </si>
  <si>
    <t>Sedes educativas afectadas por el fenómeno de la niña 2010-2011, entregadas y dotadas</t>
  </si>
  <si>
    <t xml:space="preserve">Asistencia técnica agropecuaria con información agroclimática y tecnologías que ayuden a disminuir el riesgo agroclimático para 54 sistemas de cultivo en zonas afectadas por la “ola invernal 2010-2011” </t>
  </si>
  <si>
    <t>Asistencia técnica agropecuaria con información agroclimática y tecnologías que ayuden a disminuir el riesgo agroclimático para 54 sistemas de cultivo en zonas afectadas por la “ola invernal 2010-2011”.</t>
  </si>
  <si>
    <t>Planes de Ordenación y Manejo de Cuencas Hidrográficas (POMCA), Formulados</t>
  </si>
  <si>
    <t>Planes de Ordenación y Manejo de Cuencas Hidrográficas (POMCA), Actualizados</t>
  </si>
  <si>
    <t>Instalación y puesta en funcionamiento de nuevas Estaciones Hidrometeorológicas  de apoyo al sistema de alertas tempranas del país.</t>
  </si>
  <si>
    <t>Instalación y puesta en funcionamiento para repotenciar Estaciones Hidrometeorológicas de apoyo al sistema de alertas tempranas del país.</t>
  </si>
  <si>
    <t xml:space="preserve">Consiste en el desarrollo de actividades para estructurar, implementar, acompañar y realizar la asistencia técnica de los emprendimientos y proyectos productivos en los municipios de Gramalote y Mompox. </t>
  </si>
  <si>
    <t xml:space="preserve">Protección de 10 centros poblados, 2 tramos viales y un (1) punto crítico en los departamentos de Atlántico y Bolívar. </t>
  </si>
  <si>
    <t>Urbanismo Fases I y II</t>
  </si>
  <si>
    <t>Diseño y Construcción de las obras de urbanismo del municipio</t>
  </si>
  <si>
    <t>Tramos de Vía I y II</t>
  </si>
  <si>
    <t xml:space="preserve">Estabilizaciones de deslizamientos </t>
  </si>
  <si>
    <t>Puentes</t>
  </si>
  <si>
    <t>Construcción y/o refuerzo de 3 puentes vehiculares y 1 puentes peatonal</t>
  </si>
  <si>
    <t>Programas para el desarrollo socio-económico de la región de La Mojana</t>
  </si>
  <si>
    <t>Ejecución de estudios y diagnósticos tendientes a definir las soluciones, para atender la problemática histórica de la región de La Mojana, la identificación de flujos, caudales.</t>
  </si>
  <si>
    <t>Estudios y Estructuración del macroproyecto</t>
  </si>
  <si>
    <t xml:space="preserve">Ejecución de proyectos y programas de reactivación económica, y protección de las fuentes hídricas, para el mejoramiento de las condiciones socioeconómicas de los residentes en la región de la Mojana </t>
  </si>
  <si>
    <t xml:space="preserve">Viviendas entregadas a los beneficiarios afectados por el Fenómeno de la Niña 2010-2011 </t>
  </si>
  <si>
    <t>Equipamientos Municipales</t>
  </si>
  <si>
    <t>Centro administrativo Municipal (CAM) - Plaza Principal - Plaza de Mercado - Estación de Policía - Polideportivo - Casa del Campesino - Casa de la Cultura - Casa del Adulto Mayor</t>
  </si>
  <si>
    <t>Diseño, construcción y entrega de Obras de mitigación de riesgo por inundación para la PTAP Puerto Mallarino, PTAR Cañaveralejo, Repotenciación Estación de Bombeo Paso del Comercio</t>
  </si>
  <si>
    <t xml:space="preserve">Obras Civiles para la atención a damnificados de la Ola Invernal 2010 - 2011, Mitigación del Riesgo  y Adaptación al Cambio Climático </t>
  </si>
  <si>
    <t>RESULTADOS DEL FONDO ADAPTACIÓN</t>
  </si>
  <si>
    <t>Las metas de la Fondo Adaptación están encaminadas a la Reconstrucción (Estudios de Vulnerabilidad, Diseños, Construcción y Entrega) de la infraestructura afectada a raíz del Fenómeno de La Niña 2010 - 2011,  las Intervenciones que ejecuta la Entidad pertenecen a los sectores de Acueducto y Saneamiento Básico, Educación, Medio Ambiente, Reactivación Económica, Salud, Transporte y Vivienda, los Macroproyectos Canal del Dique, Gramalote, Jarillón de Cali, La Mojana y el proyecto Rio Fonce.</t>
  </si>
  <si>
    <t>Obras civiles para la Mitigación del Riesgo y la Adaptación al cambio Climático como los muros de protección de San Marcos y  Magangué, la construcción de obras complementarias en el reasentamiento de Doña Ana en San Benito Abad y la construcción del SENA en Majagual</t>
  </si>
  <si>
    <t>Teniendo en cuenta la gran cantidad de Intervenciones realizadas por la Entidad, la diversidad y complejidad de las mismas y la de igual manera el valor de inversión de cada segmento, el Fondo Adaptación estableció una medición de avance porcentual global, la cual tiene en cuenta los factores mencionados de inversión y cantidad de productos, asignándoles una ponderación para la obtención del Avance Ponderado de la Entidad el cual se presenta  a continuación:</t>
  </si>
  <si>
    <t>Entregado Acumulado Marzo 2023</t>
  </si>
  <si>
    <t>Avance Acumulado Marzo 2023 %</t>
  </si>
  <si>
    <t>Marzo 2023</t>
  </si>
  <si>
    <t xml:space="preserve">A continuación, se muestra año a año los resultados de los productos entregados a las comunidades y/o beneficarios en cada uno de los sectores y macroproyectos: </t>
  </si>
  <si>
    <t>Avance
entregado Enero 2023</t>
  </si>
  <si>
    <t>Avance
entregado Febrero 2023</t>
  </si>
  <si>
    <t>Avance
entregado Marzo 2023</t>
  </si>
  <si>
    <t>Avance
entregado Abril 2023</t>
  </si>
  <si>
    <t>Avance
entregado Mayo 2023</t>
  </si>
  <si>
    <t>Avance
entregado Junio 2023</t>
  </si>
  <si>
    <t>Avance
entregado Julio 2023</t>
  </si>
  <si>
    <t>Avance
entregado Agosto 2023</t>
  </si>
  <si>
    <t>Avance
entregado Septiembre 2023</t>
  </si>
  <si>
    <t>Avance
entregado Octubre 2023</t>
  </si>
  <si>
    <t>Avance
entregado Noviembre 2023</t>
  </si>
  <si>
    <t>Avance
entregado Diciembre 2023</t>
  </si>
  <si>
    <t>Implementación de herramientas para la iclusión productiva de la población en la zona de la interconexión vial Yati - Bodega - departamento de Volívar - municipios de Magangué, Cicuco, Talaigua Nuevo, Mompós</t>
  </si>
  <si>
    <t>Inclusión productiva Yati. Acompañamiento Social Proyectos Reactivar urbanos o mixtos, entregado</t>
  </si>
  <si>
    <t xml:space="preserve">A continuación se muestra año a año los resultados de los productos entregados a las comunidades y/o beneficarios en cada uno de los sectores y macroproyectos: </t>
  </si>
  <si>
    <t>Diciembre 2022</t>
  </si>
  <si>
    <t>Entregado Acumulado Diciembre 2022</t>
  </si>
  <si>
    <t>Avance Acumulado Diciembre 2022 %</t>
  </si>
  <si>
    <t>Avance
entregado Enero 2022</t>
  </si>
  <si>
    <t>Avance
entregado Febrero 2022</t>
  </si>
  <si>
    <t>Avance
entregado Marzo 2022</t>
  </si>
  <si>
    <t>Avance
entregado Abril 2022</t>
  </si>
  <si>
    <t>Avance
entregado Mayo 2022</t>
  </si>
  <si>
    <t>Avance
entregado Junio 2022</t>
  </si>
  <si>
    <t>Avance
entregado Julio 2022</t>
  </si>
  <si>
    <t>Avance
entregado Agosto 2022</t>
  </si>
  <si>
    <t>Avance
entregado Septiembre 2022</t>
  </si>
  <si>
    <t>Avance
entregado Octubre 2022</t>
  </si>
  <si>
    <t>Avance
entregado Noviembre 2022</t>
  </si>
  <si>
    <t>Avance
entregado Diciembre 2022</t>
  </si>
  <si>
    <t>Junio 2023</t>
  </si>
  <si>
    <t>Entregado Acumulado Junio 2023</t>
  </si>
  <si>
    <t>Avance Acumulado Junio 2023 %</t>
  </si>
  <si>
    <t>AVANCE EN EL CUMPLIMIENTO DE LA POLÍTICA Y MISIÓN DEL FONDO ADAPTACIÓN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</si>
</sst>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5" fillId="6" borderId="6" xfId="0" applyNumberFormat="1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left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justify" vertical="center" wrapText="1"/>
      <protection locked="0"/>
    </xf>
    <xf numFmtId="0" fontId="0" fillId="6" borderId="5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17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 applyProtection="1">
      <alignment vertical="center" wrapText="1"/>
      <protection locked="0"/>
    </xf>
    <xf numFmtId="0" fontId="5" fillId="7" borderId="17" xfId="0" applyFont="1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9" fontId="5" fillId="7" borderId="23" xfId="1" applyFont="1" applyFill="1" applyBorder="1" applyAlignment="1" applyProtection="1">
      <alignment horizontal="center" vertical="center"/>
    </xf>
    <xf numFmtId="9" fontId="5" fillId="7" borderId="24" xfId="1" applyFont="1" applyFill="1" applyBorder="1" applyAlignment="1" applyProtection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 applyProtection="1">
      <alignment horizontal="left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center" vertical="center"/>
    </xf>
    <xf numFmtId="0" fontId="5" fillId="7" borderId="20" xfId="0" applyFont="1" applyFill="1" applyBorder="1" applyAlignment="1" applyProtection="1">
      <alignment vertical="center" wrapText="1"/>
      <protection locked="0"/>
    </xf>
    <xf numFmtId="0" fontId="5" fillId="7" borderId="20" xfId="0" applyFont="1" applyFill="1" applyBorder="1" applyAlignment="1" applyProtection="1">
      <alignment horizontal="justify" vertical="center" wrapText="1"/>
      <protection locked="0"/>
    </xf>
    <xf numFmtId="3" fontId="5" fillId="7" borderId="20" xfId="0" applyNumberFormat="1" applyFont="1" applyFill="1" applyBorder="1" applyAlignment="1" applyProtection="1">
      <alignment horizontal="center" vertical="center"/>
      <protection locked="0"/>
    </xf>
    <xf numFmtId="3" fontId="5" fillId="7" borderId="20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9" fontId="5" fillId="6" borderId="25" xfId="1" applyFont="1" applyFill="1" applyBorder="1" applyAlignment="1" applyProtection="1">
      <alignment horizontal="center" vertical="center"/>
    </xf>
    <xf numFmtId="9" fontId="5" fillId="6" borderId="24" xfId="1" applyFont="1" applyFill="1" applyBorder="1" applyAlignment="1" applyProtection="1">
      <alignment horizontal="center" vertical="center"/>
    </xf>
    <xf numFmtId="9" fontId="5" fillId="7" borderId="25" xfId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  <protection locked="0"/>
    </xf>
    <xf numFmtId="0" fontId="0" fillId="8" borderId="5" xfId="0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 wrapText="1"/>
    </xf>
    <xf numFmtId="164" fontId="0" fillId="8" borderId="5" xfId="1" applyNumberFormat="1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/>
    </xf>
    <xf numFmtId="0" fontId="5" fillId="6" borderId="5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5" fillId="6" borderId="13" xfId="0" applyNumberFormat="1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center" vertical="center"/>
    </xf>
    <xf numFmtId="9" fontId="5" fillId="6" borderId="32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7" borderId="20" xfId="0" applyFill="1" applyBorder="1" applyAlignment="1" applyProtection="1">
      <alignment horizontal="left" vertical="center" wrapText="1"/>
      <protection locked="0"/>
    </xf>
    <xf numFmtId="3" fontId="0" fillId="7" borderId="20" xfId="0" applyNumberFormat="1" applyFill="1" applyBorder="1" applyAlignment="1" applyProtection="1">
      <alignment horizontal="center" vertical="center"/>
      <protection locked="0"/>
    </xf>
    <xf numFmtId="9" fontId="5" fillId="7" borderId="36" xfId="1" applyFon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9" fontId="5" fillId="7" borderId="37" xfId="1" applyFont="1" applyFill="1" applyBorder="1" applyAlignment="1" applyProtection="1">
      <alignment horizontal="center" vertical="center"/>
    </xf>
    <xf numFmtId="9" fontId="0" fillId="0" borderId="36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3" fontId="5" fillId="0" borderId="14" xfId="0" applyNumberFormat="1" applyFont="1" applyBorder="1" applyAlignment="1">
      <alignment horizontal="center" vertical="center"/>
    </xf>
    <xf numFmtId="0" fontId="0" fillId="6" borderId="33" xfId="0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3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0" fontId="0" fillId="6" borderId="33" xfId="0" applyFill="1" applyBorder="1" applyAlignment="1" applyProtection="1">
      <alignment horizontal="justify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9" fontId="5" fillId="6" borderId="35" xfId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7" fontId="0" fillId="8" borderId="5" xfId="0" applyNumberFormat="1" applyFill="1" applyBorder="1" applyAlignment="1">
      <alignment horizontal="center" vertical="center"/>
    </xf>
    <xf numFmtId="164" fontId="5" fillId="6" borderId="32" xfId="1" applyNumberFormat="1" applyFont="1" applyFill="1" applyBorder="1" applyAlignment="1" applyProtection="1">
      <alignment horizontal="center" vertical="center"/>
    </xf>
    <xf numFmtId="1" fontId="2" fillId="3" borderId="39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 applyProtection="1">
      <alignment horizontal="center" vertical="center"/>
      <protection locked="0"/>
    </xf>
    <xf numFmtId="1" fontId="2" fillId="3" borderId="31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9" fontId="5" fillId="7" borderId="19" xfId="1" applyFont="1" applyFill="1" applyBorder="1" applyAlignment="1" applyProtection="1">
      <alignment horizontal="center" vertical="center"/>
    </xf>
    <xf numFmtId="9" fontId="5" fillId="6" borderId="8" xfId="1" applyFont="1" applyFill="1" applyBorder="1" applyAlignment="1" applyProtection="1">
      <alignment horizontal="center" vertical="center"/>
    </xf>
    <xf numFmtId="9" fontId="5" fillId="7" borderId="8" xfId="1" applyFont="1" applyFill="1" applyBorder="1" applyAlignment="1" applyProtection="1">
      <alignment horizontal="center" vertical="center"/>
    </xf>
    <xf numFmtId="9" fontId="5" fillId="6" borderId="21" xfId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left" vertical="center" wrapText="1"/>
      <protection locked="0"/>
    </xf>
    <xf numFmtId="3" fontId="0" fillId="7" borderId="40" xfId="0" applyNumberFormat="1" applyFill="1" applyBorder="1" applyAlignment="1" applyProtection="1">
      <alignment horizontal="center" vertical="center"/>
      <protection locked="0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30" xfId="0" applyNumberFormat="1" applyFont="1" applyFill="1" applyBorder="1" applyAlignment="1">
      <alignment horizontal="center" vertical="center"/>
    </xf>
    <xf numFmtId="9" fontId="5" fillId="7" borderId="41" xfId="1" applyFont="1" applyFill="1" applyBorder="1" applyAlignment="1" applyProtection="1">
      <alignment horizontal="center" vertical="center"/>
    </xf>
    <xf numFmtId="3" fontId="5" fillId="6" borderId="42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3" fontId="5" fillId="6" borderId="8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7" borderId="16" xfId="0" applyFont="1" applyFill="1" applyBorder="1" applyAlignment="1" applyProtection="1">
      <alignment horizontal="left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Paola Perez Moron" id="{99902CF4-23BF-4306-9C0D-8E9A0D1A8A74}" userId="Maria Paola Perez Moron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" dT="2022-08-04T14:22:33.03" personId="{99902CF4-23BF-4306-9C0D-8E9A0D1A8A74}" id="{DD35355F-7FC5-4F71-AF2D-ED174F9049A9}">
    <text>Meta presentada al Consejo Directivo Enero 2022</text>
  </threadedComment>
  <threadedComment ref="I37" dT="2022-08-04T14:23:51.37" personId="{99902CF4-23BF-4306-9C0D-8E9A0D1A8A74}" id="{2A96530A-BD3F-4207-AFA5-EF5D3F6D69B4}">
    <text>De acuerdo con la base de gerencia son 42</text>
  </threadedComment>
  <threadedComment ref="J37" dT="2022-08-04T14:24:15.53" personId="{99902CF4-23BF-4306-9C0D-8E9A0D1A8A74}" id="{6EF1C3DF-E16A-48C2-A020-4531FEBC89B3}">
    <text>De acuerdo con la base de gerencia son 27</text>
  </threadedComment>
  <threadedComment ref="I50" dT="2022-08-04T14:27:45.88" personId="{99902CF4-23BF-4306-9C0D-8E9A0D1A8A74}" id="{E0882341-2EA2-4F43-BC6A-92523D695E21}">
    <text>De acuerdo con el informe de gerencia para 2016 se entregaron 25</text>
  </threadedComment>
  <threadedComment ref="J50" dT="2022-08-04T14:28:16.21" personId="{99902CF4-23BF-4306-9C0D-8E9A0D1A8A74}" id="{6316F24F-90B4-40A0-8093-B906EA99F5AF}">
    <text>De acuerdo con el informe de gerencia para 2017 son 103</text>
  </threadedComment>
  <threadedComment ref="K50" dT="2022-08-04T14:28:53.85" personId="{99902CF4-23BF-4306-9C0D-8E9A0D1A8A74}" id="{CB2661C2-3A06-470A-9960-5C6C1DB91A8E}">
    <text>De acuerdo con la base de gerencia para 2018 son 70</text>
  </threadedComment>
  <threadedComment ref="L50" dT="2022-08-04T14:29:24.67" personId="{99902CF4-23BF-4306-9C0D-8E9A0D1A8A74}" id="{1E8D7826-BB8F-465A-A441-B09140812022}">
    <text>De acuerdo con la base de geencia para 2019 son 12</text>
  </threadedComment>
  <threadedComment ref="I51" dT="2022-08-04T14:30:09.44" personId="{99902CF4-23BF-4306-9C0D-8E9A0D1A8A74}" id="{3FE0347C-5E34-4C3C-A477-5C678BBD2C34}">
    <text>De acuerdo con la base de gerencia para 2016 son 115</text>
  </threadedComment>
  <threadedComment ref="J51" dT="2022-08-04T14:30:45.10" personId="{99902CF4-23BF-4306-9C0D-8E9A0D1A8A74}" id="{06D07166-AC8F-4549-9C5D-126DF4F4C942}">
    <text>De acuerdo con la base de gerencia para 2017 son 95</text>
  </threadedComment>
  <threadedComment ref="K51" dT="2022-08-04T14:31:23.46" personId="{99902CF4-23BF-4306-9C0D-8E9A0D1A8A74}" id="{FC51D8DB-B36C-4DA5-A730-76715A33942F}">
    <text>De acuerdo con la base de gerencia para 2018 son 34</text>
  </threadedComment>
  <threadedComment ref="L51" dT="2022-08-04T14:32:02.67" personId="{99902CF4-23BF-4306-9C0D-8E9A0D1A8A74}" id="{99D41896-7DF6-4411-AF73-ED38CD2058F5}">
    <text>De acuerdo con la base de gerencia para 2019 son 3</text>
  </threadedComment>
  <threadedComment ref="K52" dT="2022-08-04T14:26:47.78" personId="{99902CF4-23BF-4306-9C0D-8E9A0D1A8A74}" id="{5FBEE954-DBBA-4470-8B15-68C0D659EB53}">
    <text>De acuerdo con la base de gerencia estas entregas corresponden a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EF4C1C68-4178-4662-866D-2F9C83B5C2D0}">
    <text>Meta presentada al Consejo Directivo Enero 2022</text>
  </threadedComment>
  <threadedComment ref="I38" dT="2022-08-04T14:23:51.37" personId="{99902CF4-23BF-4306-9C0D-8E9A0D1A8A74}" id="{7A953409-2B71-4BA0-9B07-BE723414BE47}">
    <text>De acuerdo con la base de gerencia son 42</text>
  </threadedComment>
  <threadedComment ref="J38" dT="2022-08-04T14:24:15.53" personId="{99902CF4-23BF-4306-9C0D-8E9A0D1A8A74}" id="{3C8B40C7-48CF-448C-8BF5-06EE7A78AE22}">
    <text>De acuerdo con la base de gerencia son 27</text>
  </threadedComment>
  <threadedComment ref="I51" dT="2022-08-04T14:27:45.88" personId="{99902CF4-23BF-4306-9C0D-8E9A0D1A8A74}" id="{3EA813AE-4381-4A9B-AD1A-14080F6C9713}">
    <text>De acuerdo con el informe de gerencia para 2016 se entregaron 25</text>
  </threadedComment>
  <threadedComment ref="J51" dT="2022-08-04T14:28:16.21" personId="{99902CF4-23BF-4306-9C0D-8E9A0D1A8A74}" id="{7109A98B-061F-4761-9CAA-5BF3525BEB2A}">
    <text>De acuerdo con el informe de gerencia para 2017 son 103</text>
  </threadedComment>
  <threadedComment ref="K51" dT="2022-08-04T14:28:53.85" personId="{99902CF4-23BF-4306-9C0D-8E9A0D1A8A74}" id="{54D79046-CBE1-49E8-BE06-1675526F7E50}">
    <text>De acuerdo con la base de gerencia para 2018 son 70</text>
  </threadedComment>
  <threadedComment ref="L51" dT="2022-08-04T14:29:24.67" personId="{99902CF4-23BF-4306-9C0D-8E9A0D1A8A74}" id="{914ACA96-65B6-4172-9C38-798F3BF4E3F3}">
    <text>De acuerdo con la base de geencia para 2019 son 12</text>
  </threadedComment>
  <threadedComment ref="I52" dT="2022-08-04T14:30:09.44" personId="{99902CF4-23BF-4306-9C0D-8E9A0D1A8A74}" id="{DC511065-993D-4783-8BAF-8C1886A5AAE5}">
    <text>De acuerdo con la base de gerencia para 2016 son 115</text>
  </threadedComment>
  <threadedComment ref="J52" dT="2022-08-04T14:30:45.10" personId="{99902CF4-23BF-4306-9C0D-8E9A0D1A8A74}" id="{486D9798-341C-4A04-BBF8-A3BC911B038D}">
    <text>De acuerdo con la base de gerencia para 2017 son 95</text>
  </threadedComment>
  <threadedComment ref="K52" dT="2022-08-04T14:31:23.46" personId="{99902CF4-23BF-4306-9C0D-8E9A0D1A8A74}" id="{BA79290A-C9D5-4BE3-9A31-B0336E5D66B6}">
    <text>De acuerdo con la base de gerencia para 2018 son 34</text>
  </threadedComment>
  <threadedComment ref="L52" dT="2022-08-04T14:32:02.67" personId="{99902CF4-23BF-4306-9C0D-8E9A0D1A8A74}" id="{F12EF3C2-9F6D-4175-9BEA-B39BBF526658}">
    <text>De acuerdo con la base de gerencia para 2019 son 3</text>
  </threadedComment>
  <threadedComment ref="K53" dT="2022-08-04T14:26:47.78" personId="{99902CF4-23BF-4306-9C0D-8E9A0D1A8A74}" id="{69423C7A-4B11-4BBD-9239-CFF8E09705C5}">
    <text>De acuerdo con la base de gerencia estas entregas corresponden a 2019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C3F3E3FC-8D86-459B-A975-104B35F65A69}">
    <text>Meta presentada al Consejo Directivo Enero 2022</text>
  </threadedComment>
  <threadedComment ref="I38" dT="2022-08-04T14:23:51.37" personId="{99902CF4-23BF-4306-9C0D-8E9A0D1A8A74}" id="{36A1ECF5-5F54-4453-A244-18F59C1C0E36}">
    <text>De acuerdo con la base de gerencia son 42</text>
  </threadedComment>
  <threadedComment ref="J38" dT="2022-08-04T14:24:15.53" personId="{99902CF4-23BF-4306-9C0D-8E9A0D1A8A74}" id="{E717B550-46AF-46F0-B220-B6AB7F03A324}">
    <text>De acuerdo con la base de gerencia son 27</text>
  </threadedComment>
  <threadedComment ref="I51" dT="2022-08-04T14:27:45.88" personId="{99902CF4-23BF-4306-9C0D-8E9A0D1A8A74}" id="{E0286825-568F-4AA8-ADBB-038967F797AE}">
    <text>De acuerdo con el informe de gerencia para 2016 se entregaron 25</text>
  </threadedComment>
  <threadedComment ref="J51" dT="2022-08-04T14:28:16.21" personId="{99902CF4-23BF-4306-9C0D-8E9A0D1A8A74}" id="{39BD9C14-9961-43E8-95C3-0F14501D9F15}">
    <text>De acuerdo con el informe de gerencia para 2017 son 103</text>
  </threadedComment>
  <threadedComment ref="K51" dT="2022-08-04T14:28:53.85" personId="{99902CF4-23BF-4306-9C0D-8E9A0D1A8A74}" id="{8411A765-0B38-4F50-92C3-38F8959423F6}">
    <text>De acuerdo con la base de gerencia para 2018 son 70</text>
  </threadedComment>
  <threadedComment ref="L51" dT="2022-08-04T14:29:24.67" personId="{99902CF4-23BF-4306-9C0D-8E9A0D1A8A74}" id="{A2941EE5-AC05-418D-AE89-32BACEC62D60}">
    <text>De acuerdo con la base de geencia para 2019 son 12</text>
  </threadedComment>
  <threadedComment ref="I52" dT="2022-08-04T14:30:09.44" personId="{99902CF4-23BF-4306-9C0D-8E9A0D1A8A74}" id="{B89DE47C-813C-45A8-B582-B13B1B1F1BEE}">
    <text>De acuerdo con la base de gerencia para 2016 son 115</text>
  </threadedComment>
  <threadedComment ref="J52" dT="2022-08-04T14:30:45.10" personId="{99902CF4-23BF-4306-9C0D-8E9A0D1A8A74}" id="{E7B8CB82-9AF9-4602-A27A-C04B8641DE15}">
    <text>De acuerdo con la base de gerencia para 2017 son 95</text>
  </threadedComment>
  <threadedComment ref="K52" dT="2022-08-04T14:31:23.46" personId="{99902CF4-23BF-4306-9C0D-8E9A0D1A8A74}" id="{8AD88D95-60E4-4E93-A654-83C503DE7BBB}">
    <text>De acuerdo con la base de gerencia para 2018 son 34</text>
  </threadedComment>
  <threadedComment ref="L52" dT="2022-08-04T14:32:02.67" personId="{99902CF4-23BF-4306-9C0D-8E9A0D1A8A74}" id="{0180B56B-75A3-4A37-8D45-B4CE5BC91170}">
    <text>De acuerdo con la base de gerencia para 2019 son 3</text>
  </threadedComment>
  <threadedComment ref="K53" dT="2022-08-04T14:26:47.78" personId="{99902CF4-23BF-4306-9C0D-8E9A0D1A8A74}" id="{363F33E0-ED42-4681-BC6E-8A3E05C69E5D}">
    <text>De acuerdo con la base de gerencia estas entregas corresponden a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6694-C106-4BBD-ACFE-9D93BEA6889A}">
  <sheetPr>
    <pageSetUpPr fitToPage="1"/>
  </sheetPr>
  <dimension ref="B3:AG76"/>
  <sheetViews>
    <sheetView topLeftCell="A5" zoomScale="90" zoomScaleNormal="90" workbookViewId="0">
      <selection activeCell="C18" sqref="C18"/>
    </sheetView>
  </sheetViews>
  <sheetFormatPr baseColWidth="10" defaultRowHeight="15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26" width="15.140625" style="22" customWidth="1"/>
    <col min="27" max="27" width="15.5703125" style="22" customWidth="1"/>
    <col min="28" max="28" width="15.42578125" style="22" customWidth="1"/>
    <col min="29" max="29" width="15.5703125" style="22" customWidth="1"/>
    <col min="30" max="16384" width="11.42578125" style="22"/>
  </cols>
  <sheetData>
    <row r="3" spans="2:29" ht="30" customHeight="1" x14ac:dyDescent="0.25">
      <c r="B3" s="152" t="s">
        <v>102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4"/>
    </row>
    <row r="5" spans="2:29" ht="52.5" customHeight="1" x14ac:dyDescent="0.25">
      <c r="B5" s="131" t="s">
        <v>103</v>
      </c>
      <c r="C5" s="131"/>
      <c r="D5" s="131"/>
      <c r="E5" s="131"/>
      <c r="F5" s="131"/>
      <c r="G5" s="131"/>
      <c r="H5" s="131"/>
      <c r="I5" s="131"/>
      <c r="J5" s="131"/>
      <c r="K5" s="19"/>
      <c r="L5" s="19"/>
      <c r="M5" s="19"/>
      <c r="N5" s="19"/>
    </row>
    <row r="7" spans="2:29" ht="15" customHeight="1" x14ac:dyDescent="0.25">
      <c r="B7" s="155" t="s">
        <v>74</v>
      </c>
      <c r="C7" s="156"/>
      <c r="D7" s="156"/>
      <c r="E7" s="156"/>
      <c r="F7" s="156"/>
      <c r="G7" s="156"/>
      <c r="H7" s="156"/>
      <c r="I7" s="156"/>
      <c r="J7" s="156"/>
      <c r="K7" s="25"/>
      <c r="L7" s="25"/>
      <c r="M7" s="25"/>
      <c r="N7" s="25"/>
    </row>
    <row r="9" spans="2:29" ht="60.75" customHeight="1" x14ac:dyDescent="0.25">
      <c r="B9" s="131" t="s">
        <v>105</v>
      </c>
      <c r="C9" s="131"/>
      <c r="D9" s="131"/>
      <c r="E9" s="131"/>
      <c r="F9" s="131"/>
      <c r="G9" s="131"/>
      <c r="H9" s="131"/>
      <c r="I9" s="131"/>
      <c r="J9" s="131"/>
      <c r="K9" s="19"/>
      <c r="L9" s="19"/>
      <c r="M9" s="19"/>
      <c r="N9" s="19"/>
    </row>
    <row r="11" spans="2:29" x14ac:dyDescent="0.25">
      <c r="B11" s="96" t="s">
        <v>70</v>
      </c>
      <c r="C11" s="24" t="s">
        <v>71</v>
      </c>
    </row>
    <row r="12" spans="2:29" x14ac:dyDescent="0.25">
      <c r="B12" s="57">
        <v>2016</v>
      </c>
      <c r="C12" s="58">
        <v>0.52800000000000002</v>
      </c>
    </row>
    <row r="13" spans="2:29" x14ac:dyDescent="0.25">
      <c r="B13" s="57">
        <v>2017</v>
      </c>
      <c r="C13" s="58">
        <v>0.67</v>
      </c>
    </row>
    <row r="14" spans="2:29" x14ac:dyDescent="0.25">
      <c r="B14" s="57">
        <v>2018</v>
      </c>
      <c r="C14" s="58">
        <v>0.76</v>
      </c>
    </row>
    <row r="15" spans="2:29" x14ac:dyDescent="0.25">
      <c r="B15" s="57">
        <v>2019</v>
      </c>
      <c r="C15" s="58">
        <v>0.81200000000000006</v>
      </c>
    </row>
    <row r="16" spans="2:29" x14ac:dyDescent="0.25">
      <c r="B16" s="57">
        <v>2020</v>
      </c>
      <c r="C16" s="58">
        <v>0.84299999999999997</v>
      </c>
    </row>
    <row r="17" spans="2:29" x14ac:dyDescent="0.25">
      <c r="B17" s="57">
        <v>2021</v>
      </c>
      <c r="C17" s="59">
        <v>0.86599999999999999</v>
      </c>
    </row>
    <row r="18" spans="2:29" x14ac:dyDescent="0.25">
      <c r="B18" s="57">
        <v>2022</v>
      </c>
      <c r="C18" s="110">
        <v>0.89600000000000002</v>
      </c>
    </row>
    <row r="19" spans="2:29" ht="15" customHeight="1" x14ac:dyDescent="0.25">
      <c r="B19" s="157"/>
      <c r="C19" s="157"/>
      <c r="D19" s="157"/>
      <c r="E19" s="157"/>
      <c r="F19" s="157"/>
      <c r="G19" s="157"/>
      <c r="H19" s="157"/>
      <c r="I19" s="157"/>
      <c r="J19" s="157"/>
      <c r="K19" s="19"/>
      <c r="L19" s="19"/>
      <c r="M19" s="19"/>
      <c r="N19" s="19"/>
    </row>
    <row r="22" spans="2:29" x14ac:dyDescent="0.25">
      <c r="B22" s="132" t="s">
        <v>67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2:29" x14ac:dyDescent="0.25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5" spans="2:29" ht="27.75" customHeight="1" x14ac:dyDescent="0.25">
      <c r="B25" s="131" t="s">
        <v>124</v>
      </c>
      <c r="C25" s="131"/>
      <c r="D25" s="131"/>
      <c r="E25" s="131"/>
      <c r="F25" s="131"/>
      <c r="G25" s="131"/>
      <c r="H25" s="131"/>
      <c r="I25" s="131"/>
      <c r="J25" s="131"/>
      <c r="K25" s="19"/>
      <c r="L25" s="19"/>
      <c r="M25" s="19"/>
      <c r="N25" s="19"/>
    </row>
    <row r="26" spans="2:29" ht="1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</row>
    <row r="27" spans="2:29" x14ac:dyDescent="0.25">
      <c r="B27" s="132" t="s">
        <v>68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</row>
    <row r="28" spans="2:29" x14ac:dyDescent="0.25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</row>
    <row r="29" spans="2:29" ht="15.75" thickBot="1" x14ac:dyDescent="0.3"/>
    <row r="30" spans="2:29" ht="72" customHeight="1" thickBot="1" x14ac:dyDescent="0.3">
      <c r="B30" s="1" t="s">
        <v>0</v>
      </c>
      <c r="C30" s="2" t="s">
        <v>1</v>
      </c>
      <c r="D30" s="2" t="s">
        <v>2</v>
      </c>
      <c r="E30" s="21" t="s">
        <v>75</v>
      </c>
      <c r="F30" s="99">
        <v>2013</v>
      </c>
      <c r="G30" s="99">
        <v>2014</v>
      </c>
      <c r="H30" s="99">
        <v>2015</v>
      </c>
      <c r="I30" s="99">
        <v>2016</v>
      </c>
      <c r="J30" s="99">
        <v>2017</v>
      </c>
      <c r="K30" s="99">
        <v>2018</v>
      </c>
      <c r="L30" s="99">
        <v>2019</v>
      </c>
      <c r="M30" s="99">
        <v>2020</v>
      </c>
      <c r="N30" s="99">
        <v>2021</v>
      </c>
      <c r="O30" s="20">
        <v>44562</v>
      </c>
      <c r="P30" s="20">
        <v>44593</v>
      </c>
      <c r="Q30" s="20">
        <v>44621</v>
      </c>
      <c r="R30" s="20">
        <v>44652</v>
      </c>
      <c r="S30" s="20">
        <v>44682</v>
      </c>
      <c r="T30" s="20">
        <v>44713</v>
      </c>
      <c r="U30" s="20">
        <v>44743</v>
      </c>
      <c r="V30" s="20">
        <v>44774</v>
      </c>
      <c r="W30" s="20">
        <v>44805</v>
      </c>
      <c r="X30" s="20">
        <v>44835</v>
      </c>
      <c r="Y30" s="20">
        <v>44866</v>
      </c>
      <c r="Z30" s="20">
        <v>44896</v>
      </c>
      <c r="AA30" s="98" t="s">
        <v>125</v>
      </c>
      <c r="AB30" s="27" t="s">
        <v>126</v>
      </c>
      <c r="AC30" s="29" t="s">
        <v>127</v>
      </c>
    </row>
    <row r="31" spans="2:29" ht="45.75" thickBot="1" x14ac:dyDescent="0.3">
      <c r="B31" s="71" t="s">
        <v>3</v>
      </c>
      <c r="C31" s="66" t="s">
        <v>4</v>
      </c>
      <c r="D31" s="66" t="s">
        <v>97</v>
      </c>
      <c r="E31" s="67">
        <v>43903</v>
      </c>
      <c r="F31" s="67">
        <v>3700</v>
      </c>
      <c r="G31" s="67">
        <v>2874</v>
      </c>
      <c r="H31" s="67">
        <v>4005</v>
      </c>
      <c r="I31" s="67">
        <v>7293</v>
      </c>
      <c r="J31" s="67">
        <v>4586</v>
      </c>
      <c r="K31" s="67">
        <v>7395</v>
      </c>
      <c r="L31" s="67">
        <v>2296</v>
      </c>
      <c r="M31" s="67">
        <v>2708</v>
      </c>
      <c r="N31" s="67">
        <v>1313</v>
      </c>
      <c r="O31" s="97">
        <v>80</v>
      </c>
      <c r="P31" s="3">
        <v>23</v>
      </c>
      <c r="Q31" s="3">
        <v>163</v>
      </c>
      <c r="R31" s="3">
        <v>220</v>
      </c>
      <c r="S31" s="3">
        <v>201</v>
      </c>
      <c r="T31" s="3">
        <v>65</v>
      </c>
      <c r="U31" s="3">
        <v>320</v>
      </c>
      <c r="V31" s="69">
        <v>33</v>
      </c>
      <c r="W31" s="69">
        <v>107</v>
      </c>
      <c r="X31" s="69">
        <v>146</v>
      </c>
      <c r="Y31" s="69">
        <v>52</v>
      </c>
      <c r="Z31" s="69">
        <v>201</v>
      </c>
      <c r="AA31" s="69">
        <f>SUM(O31:Z31)</f>
        <v>1611</v>
      </c>
      <c r="AB31" s="111">
        <f>F31+G31+H31+I31+J31+K31+L31+M31+N31+AA31</f>
        <v>37781</v>
      </c>
      <c r="AC31" s="101">
        <f t="shared" ref="AC31:AC54" si="0">AB31/E31</f>
        <v>0.86055622622599826</v>
      </c>
    </row>
    <row r="32" spans="2:29" ht="45" x14ac:dyDescent="0.25">
      <c r="B32" s="134" t="s">
        <v>5</v>
      </c>
      <c r="C32" s="43" t="s">
        <v>6</v>
      </c>
      <c r="D32" s="43" t="s">
        <v>77</v>
      </c>
      <c r="E32" s="44">
        <v>130</v>
      </c>
      <c r="F32" s="44"/>
      <c r="G32" s="44">
        <v>12</v>
      </c>
      <c r="H32" s="44">
        <v>8</v>
      </c>
      <c r="I32" s="44">
        <v>26</v>
      </c>
      <c r="J32" s="44">
        <f>78-SUM(F32:I32)</f>
        <v>32</v>
      </c>
      <c r="K32" s="44">
        <f>97-SUM(F32:J32)</f>
        <v>19</v>
      </c>
      <c r="L32" s="44">
        <f>107-SUM(F32:K32)</f>
        <v>10</v>
      </c>
      <c r="M32" s="44">
        <f>112-SUM(F32:L32)</f>
        <v>5</v>
      </c>
      <c r="N32" s="44">
        <v>4</v>
      </c>
      <c r="O32" s="32"/>
      <c r="P32" s="32"/>
      <c r="Q32" s="32">
        <v>1</v>
      </c>
      <c r="R32" s="32"/>
      <c r="S32" s="32"/>
      <c r="T32" s="32"/>
      <c r="U32" s="32"/>
      <c r="V32" s="32">
        <v>1</v>
      </c>
      <c r="W32" s="32"/>
      <c r="X32" s="32"/>
      <c r="Y32" s="32"/>
      <c r="Z32" s="32"/>
      <c r="AA32" s="32">
        <f t="shared" ref="AA32:AA54" si="1">SUM(O32:Z32)</f>
        <v>2</v>
      </c>
      <c r="AB32" s="112">
        <f t="shared" ref="AB32:AB54" si="2">F32+G32+H32+I32+J32+K32+L32+M32+N32+AA32</f>
        <v>118</v>
      </c>
      <c r="AC32" s="34">
        <f t="shared" si="0"/>
        <v>0.90769230769230769</v>
      </c>
    </row>
    <row r="33" spans="2:29" ht="45.75" thickBot="1" x14ac:dyDescent="0.3">
      <c r="B33" s="135"/>
      <c r="C33" s="73" t="s">
        <v>7</v>
      </c>
      <c r="D33" s="73" t="s">
        <v>8</v>
      </c>
      <c r="E33" s="74">
        <v>99</v>
      </c>
      <c r="F33" s="74"/>
      <c r="G33" s="74">
        <v>13</v>
      </c>
      <c r="H33" s="74">
        <v>11</v>
      </c>
      <c r="I33" s="74">
        <v>21</v>
      </c>
      <c r="J33" s="74">
        <f>65-SUM(F33:I33)</f>
        <v>20</v>
      </c>
      <c r="K33" s="74">
        <f>83-SUM(F33:J33)</f>
        <v>18</v>
      </c>
      <c r="L33" s="74">
        <f>88-SUM(F33:K33)</f>
        <v>5</v>
      </c>
      <c r="M33" s="74">
        <f>93-SUM(F33:L33)</f>
        <v>5</v>
      </c>
      <c r="N33" s="74">
        <v>2</v>
      </c>
      <c r="O33" s="51"/>
      <c r="P33" s="51">
        <v>1</v>
      </c>
      <c r="Q33" s="51"/>
      <c r="R33" s="51"/>
      <c r="S33" s="51">
        <v>1</v>
      </c>
      <c r="T33" s="51"/>
      <c r="U33" s="51"/>
      <c r="V33" s="51"/>
      <c r="W33" s="51"/>
      <c r="X33" s="51"/>
      <c r="Y33" s="51"/>
      <c r="Z33" s="51"/>
      <c r="AA33" s="51">
        <f t="shared" si="1"/>
        <v>2</v>
      </c>
      <c r="AB33" s="113">
        <f t="shared" si="2"/>
        <v>97</v>
      </c>
      <c r="AC33" s="55">
        <f t="shared" si="0"/>
        <v>0.97979797979797978</v>
      </c>
    </row>
    <row r="34" spans="2:29" ht="59.25" customHeight="1" thickBot="1" x14ac:dyDescent="0.3">
      <c r="B34" s="72" t="s">
        <v>9</v>
      </c>
      <c r="C34" s="66" t="s">
        <v>10</v>
      </c>
      <c r="D34" s="66" t="s">
        <v>76</v>
      </c>
      <c r="E34" s="67">
        <v>39</v>
      </c>
      <c r="F34" s="67">
        <v>1</v>
      </c>
      <c r="G34" s="67">
        <v>2</v>
      </c>
      <c r="H34" s="67">
        <v>4</v>
      </c>
      <c r="I34" s="67">
        <v>8</v>
      </c>
      <c r="J34" s="67"/>
      <c r="K34" s="67">
        <f>20-SUM(F34:J34)</f>
        <v>5</v>
      </c>
      <c r="L34" s="67">
        <f>24-SUM(F34:K34)</f>
        <v>4</v>
      </c>
      <c r="M34" s="67">
        <f>28-SUM(F34:L34)</f>
        <v>4</v>
      </c>
      <c r="N34" s="67">
        <v>1</v>
      </c>
      <c r="O34" s="68">
        <v>1</v>
      </c>
      <c r="P34" s="69"/>
      <c r="Q34" s="69"/>
      <c r="R34" s="69"/>
      <c r="S34" s="69"/>
      <c r="T34" s="69">
        <v>1</v>
      </c>
      <c r="U34" s="69">
        <v>1</v>
      </c>
      <c r="V34" s="69">
        <v>1</v>
      </c>
      <c r="W34" s="69"/>
      <c r="X34" s="69"/>
      <c r="Y34" s="69"/>
      <c r="Z34" s="69"/>
      <c r="AA34" s="69">
        <f t="shared" si="1"/>
        <v>4</v>
      </c>
      <c r="AB34" s="111">
        <f t="shared" si="2"/>
        <v>33</v>
      </c>
      <c r="AC34" s="70">
        <f t="shared" si="0"/>
        <v>0.84615384615384615</v>
      </c>
    </row>
    <row r="35" spans="2:29" ht="45" x14ac:dyDescent="0.25">
      <c r="B35" s="136" t="s">
        <v>11</v>
      </c>
      <c r="C35" s="43" t="s">
        <v>12</v>
      </c>
      <c r="D35" s="43" t="s">
        <v>13</v>
      </c>
      <c r="E35" s="44">
        <v>388</v>
      </c>
      <c r="F35" s="44">
        <v>10</v>
      </c>
      <c r="G35" s="44">
        <v>88</v>
      </c>
      <c r="H35" s="44">
        <v>179</v>
      </c>
      <c r="I35" s="44">
        <v>92</v>
      </c>
      <c r="J35" s="44">
        <v>7</v>
      </c>
      <c r="K35" s="44">
        <v>1</v>
      </c>
      <c r="L35" s="44">
        <v>2</v>
      </c>
      <c r="M35" s="44">
        <v>7</v>
      </c>
      <c r="N35" s="44"/>
      <c r="O35" s="32"/>
      <c r="P35" s="32"/>
      <c r="Q35" s="32"/>
      <c r="R35" s="32"/>
      <c r="S35" s="32"/>
      <c r="T35" s="32">
        <v>0</v>
      </c>
      <c r="U35" s="32"/>
      <c r="V35" s="32"/>
      <c r="W35" s="32"/>
      <c r="X35" s="32"/>
      <c r="Y35" s="32"/>
      <c r="Z35" s="32"/>
      <c r="AA35" s="32">
        <f>SUM(O35:Z35)</f>
        <v>0</v>
      </c>
      <c r="AB35" s="112">
        <f t="shared" si="2"/>
        <v>386</v>
      </c>
      <c r="AC35" s="34">
        <f t="shared" si="0"/>
        <v>0.99484536082474229</v>
      </c>
    </row>
    <row r="36" spans="2:29" ht="60.75" thickBot="1" x14ac:dyDescent="0.3">
      <c r="B36" s="137"/>
      <c r="C36" s="73" t="s">
        <v>14</v>
      </c>
      <c r="D36" s="73" t="s">
        <v>48</v>
      </c>
      <c r="E36" s="74">
        <v>5</v>
      </c>
      <c r="F36" s="74"/>
      <c r="G36" s="74"/>
      <c r="H36" s="74">
        <v>5</v>
      </c>
      <c r="I36" s="74"/>
      <c r="J36" s="74"/>
      <c r="K36" s="74"/>
      <c r="L36" s="74"/>
      <c r="M36" s="74"/>
      <c r="N36" s="74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f t="shared" si="1"/>
        <v>0</v>
      </c>
      <c r="AB36" s="113">
        <f t="shared" si="2"/>
        <v>5</v>
      </c>
      <c r="AC36" s="55">
        <f t="shared" si="0"/>
        <v>1</v>
      </c>
    </row>
    <row r="37" spans="2:29" ht="30.75" thickBot="1" x14ac:dyDescent="0.3">
      <c r="B37" s="71" t="s">
        <v>15</v>
      </c>
      <c r="C37" s="66" t="s">
        <v>16</v>
      </c>
      <c r="D37" s="66" t="s">
        <v>78</v>
      </c>
      <c r="E37" s="67">
        <v>255</v>
      </c>
      <c r="F37" s="67"/>
      <c r="G37" s="67">
        <v>4</v>
      </c>
      <c r="H37" s="67">
        <v>42</v>
      </c>
      <c r="I37" s="67">
        <v>42</v>
      </c>
      <c r="J37" s="67">
        <f>115-SUM(F37:I37)</f>
        <v>27</v>
      </c>
      <c r="K37" s="67">
        <f>145-SUM(F37:J37)</f>
        <v>30</v>
      </c>
      <c r="L37" s="67">
        <f>197-SUM(F37:K37)</f>
        <v>52</v>
      </c>
      <c r="M37" s="67">
        <f>220-SUM(F37:L37)</f>
        <v>23</v>
      </c>
      <c r="N37" s="67">
        <v>14</v>
      </c>
      <c r="O37" s="68"/>
      <c r="P37" s="69"/>
      <c r="Q37" s="69">
        <v>1</v>
      </c>
      <c r="R37" s="69">
        <v>1</v>
      </c>
      <c r="S37" s="69"/>
      <c r="T37" s="69"/>
      <c r="U37" s="69">
        <v>1</v>
      </c>
      <c r="V37" s="69">
        <v>1</v>
      </c>
      <c r="W37" s="69"/>
      <c r="X37" s="69"/>
      <c r="Y37" s="69"/>
      <c r="Z37" s="69"/>
      <c r="AA37" s="69">
        <f t="shared" si="1"/>
        <v>4</v>
      </c>
      <c r="AB37" s="111">
        <f t="shared" si="2"/>
        <v>238</v>
      </c>
      <c r="AC37" s="70">
        <f t="shared" si="0"/>
        <v>0.93333333333333335</v>
      </c>
    </row>
    <row r="38" spans="2:29" ht="90" x14ac:dyDescent="0.25">
      <c r="B38" s="134" t="s">
        <v>17</v>
      </c>
      <c r="C38" s="43" t="s">
        <v>18</v>
      </c>
      <c r="D38" s="43" t="s">
        <v>19</v>
      </c>
      <c r="E38" s="44">
        <v>137</v>
      </c>
      <c r="F38" s="44">
        <v>71</v>
      </c>
      <c r="G38" s="44">
        <v>66</v>
      </c>
      <c r="H38" s="44"/>
      <c r="I38" s="44"/>
      <c r="J38" s="44"/>
      <c r="K38" s="44"/>
      <c r="L38" s="44"/>
      <c r="M38" s="44"/>
      <c r="N38" s="4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f t="shared" si="1"/>
        <v>0</v>
      </c>
      <c r="AB38" s="33">
        <f t="shared" si="2"/>
        <v>137</v>
      </c>
      <c r="AC38" s="34">
        <f t="shared" si="0"/>
        <v>1</v>
      </c>
    </row>
    <row r="39" spans="2:29" ht="60" x14ac:dyDescent="0.25">
      <c r="B39" s="138"/>
      <c r="C39" s="11" t="s">
        <v>20</v>
      </c>
      <c r="D39" s="11" t="s">
        <v>21</v>
      </c>
      <c r="E39" s="10">
        <v>253</v>
      </c>
      <c r="F39" s="10">
        <v>253</v>
      </c>
      <c r="G39" s="10"/>
      <c r="H39" s="10"/>
      <c r="I39" s="10"/>
      <c r="J39" s="10"/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f t="shared" si="1"/>
        <v>0</v>
      </c>
      <c r="AB39" s="3">
        <f t="shared" si="2"/>
        <v>253</v>
      </c>
      <c r="AC39" s="54">
        <f t="shared" si="0"/>
        <v>1</v>
      </c>
    </row>
    <row r="40" spans="2:29" ht="45" x14ac:dyDescent="0.25">
      <c r="B40" s="138"/>
      <c r="C40" s="4" t="s">
        <v>22</v>
      </c>
      <c r="D40" s="4" t="s">
        <v>23</v>
      </c>
      <c r="E40" s="5">
        <v>4</v>
      </c>
      <c r="F40" s="5"/>
      <c r="G40" s="5"/>
      <c r="H40" s="5">
        <v>3</v>
      </c>
      <c r="I40" s="5"/>
      <c r="J40" s="5"/>
      <c r="K40" s="5">
        <v>1</v>
      </c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  <c r="AB40" s="7">
        <f t="shared" si="2"/>
        <v>4</v>
      </c>
      <c r="AC40" s="35">
        <f t="shared" si="0"/>
        <v>1</v>
      </c>
    </row>
    <row r="41" spans="2:29" ht="114" customHeight="1" x14ac:dyDescent="0.25">
      <c r="B41" s="138"/>
      <c r="C41" s="11" t="s">
        <v>24</v>
      </c>
      <c r="D41" s="11" t="s">
        <v>25</v>
      </c>
      <c r="E41" s="10">
        <v>87</v>
      </c>
      <c r="F41" s="10"/>
      <c r="G41" s="10"/>
      <c r="H41" s="10">
        <v>15</v>
      </c>
      <c r="I41" s="10">
        <v>35</v>
      </c>
      <c r="J41" s="10">
        <v>24</v>
      </c>
      <c r="K41" s="10">
        <v>10</v>
      </c>
      <c r="L41" s="10"/>
      <c r="M41" s="10"/>
      <c r="N41" s="10">
        <v>1</v>
      </c>
      <c r="O41" s="9"/>
      <c r="P41" s="9">
        <v>1</v>
      </c>
      <c r="Q41" s="9">
        <v>1</v>
      </c>
      <c r="R41" s="9"/>
      <c r="S41" s="9"/>
      <c r="T41" s="9"/>
      <c r="U41" s="9"/>
      <c r="V41" s="9"/>
      <c r="W41" s="9"/>
      <c r="X41" s="9"/>
      <c r="Y41" s="9"/>
      <c r="Z41" s="9"/>
      <c r="AA41" s="9">
        <f t="shared" si="1"/>
        <v>2</v>
      </c>
      <c r="AB41" s="3">
        <f t="shared" si="2"/>
        <v>87</v>
      </c>
      <c r="AC41" s="54">
        <f t="shared" si="0"/>
        <v>1</v>
      </c>
    </row>
    <row r="42" spans="2:29" ht="75" x14ac:dyDescent="0.25">
      <c r="B42" s="138"/>
      <c r="C42" s="4" t="s">
        <v>26</v>
      </c>
      <c r="D42" s="4" t="s">
        <v>80</v>
      </c>
      <c r="E42" s="5">
        <v>54</v>
      </c>
      <c r="F42" s="5">
        <v>6</v>
      </c>
      <c r="G42" s="5">
        <v>42</v>
      </c>
      <c r="H42" s="5">
        <v>6</v>
      </c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  <c r="AB42" s="7">
        <f t="shared" si="2"/>
        <v>54</v>
      </c>
      <c r="AC42" s="35">
        <f t="shared" si="0"/>
        <v>1</v>
      </c>
    </row>
    <row r="43" spans="2:29" ht="75" x14ac:dyDescent="0.25">
      <c r="B43" s="138"/>
      <c r="C43" s="11" t="s">
        <v>27</v>
      </c>
      <c r="D43" s="11" t="s">
        <v>79</v>
      </c>
      <c r="E43" s="10">
        <v>54</v>
      </c>
      <c r="F43" s="10">
        <v>6</v>
      </c>
      <c r="G43" s="10">
        <v>42</v>
      </c>
      <c r="H43" s="10">
        <v>6</v>
      </c>
      <c r="I43" s="10"/>
      <c r="J43" s="10"/>
      <c r="K43" s="10"/>
      <c r="L43" s="10"/>
      <c r="M43" s="10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>
        <f t="shared" si="1"/>
        <v>0</v>
      </c>
      <c r="AB43" s="3">
        <f t="shared" si="2"/>
        <v>54</v>
      </c>
      <c r="AC43" s="54">
        <f t="shared" si="0"/>
        <v>1</v>
      </c>
    </row>
    <row r="44" spans="2:29" ht="102" customHeight="1" thickBot="1" x14ac:dyDescent="0.3">
      <c r="B44" s="135"/>
      <c r="C44" s="73" t="s">
        <v>28</v>
      </c>
      <c r="D44" s="73" t="s">
        <v>85</v>
      </c>
      <c r="E44" s="74">
        <v>2</v>
      </c>
      <c r="F44" s="74"/>
      <c r="G44" s="74"/>
      <c r="H44" s="74"/>
      <c r="I44" s="74"/>
      <c r="J44" s="74"/>
      <c r="K44" s="74"/>
      <c r="L44" s="74"/>
      <c r="M44" s="74"/>
      <c r="N44" s="74">
        <v>1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1"/>
        <v>0</v>
      </c>
      <c r="AB44" s="52">
        <f t="shared" si="2"/>
        <v>1</v>
      </c>
      <c r="AC44" s="55">
        <f t="shared" si="0"/>
        <v>0.5</v>
      </c>
    </row>
    <row r="45" spans="2:29" ht="102" customHeight="1" x14ac:dyDescent="0.25"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119"/>
    </row>
    <row r="46" spans="2:29" ht="30" x14ac:dyDescent="0.25">
      <c r="B46" s="139" t="s">
        <v>29</v>
      </c>
      <c r="C46" s="86" t="s">
        <v>56</v>
      </c>
      <c r="D46" s="92" t="s">
        <v>82</v>
      </c>
      <c r="E46" s="93">
        <v>28</v>
      </c>
      <c r="F46" s="93"/>
      <c r="G46" s="93"/>
      <c r="H46" s="93"/>
      <c r="I46" s="93">
        <v>2</v>
      </c>
      <c r="J46" s="93">
        <v>12</v>
      </c>
      <c r="K46" s="93">
        <f>20-SUM(F46:J46)</f>
        <v>6</v>
      </c>
      <c r="L46" s="93">
        <v>5</v>
      </c>
      <c r="M46" s="93">
        <v>2</v>
      </c>
      <c r="N46" s="93">
        <v>1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f t="shared" si="1"/>
        <v>0</v>
      </c>
      <c r="AB46" s="120">
        <f t="shared" si="2"/>
        <v>28</v>
      </c>
      <c r="AC46" s="94">
        <f t="shared" si="0"/>
        <v>1</v>
      </c>
    </row>
    <row r="47" spans="2:29" ht="30" x14ac:dyDescent="0.25">
      <c r="B47" s="140"/>
      <c r="C47" s="12" t="s">
        <v>57</v>
      </c>
      <c r="D47" s="17" t="s">
        <v>81</v>
      </c>
      <c r="E47" s="5">
        <v>32</v>
      </c>
      <c r="F47" s="5"/>
      <c r="G47" s="5"/>
      <c r="H47" s="5"/>
      <c r="I47" s="5">
        <v>5</v>
      </c>
      <c r="J47" s="5">
        <v>16</v>
      </c>
      <c r="K47" s="5">
        <f>26-SUM(F47:J47)</f>
        <v>5</v>
      </c>
      <c r="L47" s="5">
        <v>6</v>
      </c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  <c r="AB47" s="121">
        <f t="shared" si="2"/>
        <v>32</v>
      </c>
      <c r="AC47" s="35">
        <f t="shared" si="0"/>
        <v>1</v>
      </c>
    </row>
    <row r="48" spans="2:29" ht="88.5" customHeight="1" x14ac:dyDescent="0.25">
      <c r="B48" s="140"/>
      <c r="C48" s="11" t="s">
        <v>58</v>
      </c>
      <c r="D48" s="18" t="s">
        <v>59</v>
      </c>
      <c r="E48" s="10">
        <v>21</v>
      </c>
      <c r="F48" s="10"/>
      <c r="G48" s="10"/>
      <c r="H48" s="10"/>
      <c r="I48" s="10">
        <v>21</v>
      </c>
      <c r="J48" s="10"/>
      <c r="K48" s="10"/>
      <c r="L48" s="10"/>
      <c r="M48" s="10"/>
      <c r="N48" s="10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>
        <f t="shared" si="1"/>
        <v>0</v>
      </c>
      <c r="AB48" s="122">
        <f t="shared" si="2"/>
        <v>21</v>
      </c>
      <c r="AC48" s="54">
        <f t="shared" si="0"/>
        <v>1</v>
      </c>
    </row>
    <row r="49" spans="2:33" ht="88.5" customHeight="1" x14ac:dyDescent="0.25">
      <c r="B49" s="140"/>
      <c r="C49" s="12" t="s">
        <v>60</v>
      </c>
      <c r="D49" s="17" t="s">
        <v>61</v>
      </c>
      <c r="E49" s="5">
        <v>3</v>
      </c>
      <c r="F49" s="5"/>
      <c r="G49" s="5"/>
      <c r="H49" s="5"/>
      <c r="I49" s="5">
        <v>3</v>
      </c>
      <c r="J49" s="5"/>
      <c r="K49" s="5"/>
      <c r="L49" s="5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  <c r="AB49" s="121">
        <f t="shared" si="2"/>
        <v>3</v>
      </c>
      <c r="AC49" s="35">
        <f t="shared" si="0"/>
        <v>1</v>
      </c>
    </row>
    <row r="50" spans="2:33" ht="60" x14ac:dyDescent="0.25">
      <c r="B50" s="140"/>
      <c r="C50" s="11" t="s">
        <v>30</v>
      </c>
      <c r="D50" s="18" t="s">
        <v>83</v>
      </c>
      <c r="E50" s="10">
        <v>210</v>
      </c>
      <c r="F50" s="10"/>
      <c r="G50" s="10"/>
      <c r="H50" s="10"/>
      <c r="I50" s="10"/>
      <c r="J50" s="10">
        <f>135-SUM(F50:I50)</f>
        <v>135</v>
      </c>
      <c r="K50" s="10">
        <f>208-SUM(F50:J50)</f>
        <v>73</v>
      </c>
      <c r="L50" s="10">
        <f>209-SUM(F50:K50)</f>
        <v>1</v>
      </c>
      <c r="M50" s="10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 t="shared" si="1"/>
        <v>0</v>
      </c>
      <c r="AB50" s="122">
        <f t="shared" si="2"/>
        <v>209</v>
      </c>
      <c r="AC50" s="54">
        <f t="shared" si="0"/>
        <v>0.99523809523809526</v>
      </c>
    </row>
    <row r="51" spans="2:33" ht="72" customHeight="1" x14ac:dyDescent="0.25">
      <c r="B51" s="140"/>
      <c r="C51" s="12" t="s">
        <v>31</v>
      </c>
      <c r="D51" s="17" t="s">
        <v>84</v>
      </c>
      <c r="E51" s="5">
        <v>247</v>
      </c>
      <c r="F51" s="5"/>
      <c r="G51" s="5"/>
      <c r="H51" s="5"/>
      <c r="I51" s="5">
        <v>134</v>
      </c>
      <c r="J51" s="5">
        <f>211-SUM(F51:I51)</f>
        <v>77</v>
      </c>
      <c r="K51" s="5">
        <f>248-SUM(F51:J51)</f>
        <v>37</v>
      </c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  <c r="AB51" s="121">
        <f t="shared" si="2"/>
        <v>248</v>
      </c>
      <c r="AC51" s="35">
        <f t="shared" si="0"/>
        <v>1.0040485829959513</v>
      </c>
    </row>
    <row r="52" spans="2:33" ht="90" customHeight="1" x14ac:dyDescent="0.25">
      <c r="B52" s="140"/>
      <c r="C52" s="11" t="s">
        <v>62</v>
      </c>
      <c r="D52" s="18" t="s">
        <v>63</v>
      </c>
      <c r="E52" s="10">
        <v>3</v>
      </c>
      <c r="F52" s="10"/>
      <c r="G52" s="10"/>
      <c r="H52" s="10"/>
      <c r="I52" s="10"/>
      <c r="J52" s="10"/>
      <c r="K52" s="10">
        <f>2-SUM(F52:J52)</f>
        <v>2</v>
      </c>
      <c r="L52" s="10">
        <f>3-SUM(F52:K52)</f>
        <v>1</v>
      </c>
      <c r="M52" s="10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 t="shared" si="1"/>
        <v>0</v>
      </c>
      <c r="AB52" s="122">
        <f t="shared" si="2"/>
        <v>3</v>
      </c>
      <c r="AC52" s="54">
        <f t="shared" si="0"/>
        <v>1</v>
      </c>
    </row>
    <row r="53" spans="2:33" ht="60" x14ac:dyDescent="0.25">
      <c r="B53" s="140"/>
      <c r="C53" s="12" t="s">
        <v>64</v>
      </c>
      <c r="D53" s="17" t="s">
        <v>65</v>
      </c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>
        <v>1</v>
      </c>
      <c r="V53" s="6"/>
      <c r="W53" s="6"/>
      <c r="X53" s="6"/>
      <c r="Y53" s="6"/>
      <c r="Z53" s="6"/>
      <c r="AA53" s="6">
        <f>SUM(O53:Z53)</f>
        <v>1</v>
      </c>
      <c r="AB53" s="121">
        <f>F53+G53+H53+I53+J53+K53+L53+M53+N53+AA53</f>
        <v>1</v>
      </c>
      <c r="AC53" s="35">
        <f t="shared" si="0"/>
        <v>1</v>
      </c>
    </row>
    <row r="54" spans="2:33" ht="105.75" thickBot="1" x14ac:dyDescent="0.3">
      <c r="B54" s="141"/>
      <c r="C54" s="64" t="s">
        <v>32</v>
      </c>
      <c r="D54" s="76" t="s">
        <v>66</v>
      </c>
      <c r="E54" s="46">
        <v>11000</v>
      </c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>
        <f t="shared" si="1"/>
        <v>0</v>
      </c>
      <c r="AB54" s="123">
        <f t="shared" si="2"/>
        <v>0</v>
      </c>
      <c r="AC54" s="53">
        <f t="shared" si="0"/>
        <v>0</v>
      </c>
    </row>
    <row r="55" spans="2:33" x14ac:dyDescent="0.25">
      <c r="B55" s="13"/>
    </row>
    <row r="56" spans="2:33" x14ac:dyDescent="0.25">
      <c r="B56" s="132" t="s">
        <v>69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</row>
    <row r="57" spans="2:33" x14ac:dyDescent="0.25"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</row>
    <row r="58" spans="2:33" ht="15.75" thickBot="1" x14ac:dyDescent="0.3">
      <c r="C58" s="60"/>
      <c r="D58" s="60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2:33" ht="69" customHeight="1" thickBot="1" x14ac:dyDescent="0.3">
      <c r="B59" s="14" t="s">
        <v>33</v>
      </c>
      <c r="C59" s="15" t="s">
        <v>1</v>
      </c>
      <c r="D59" s="15" t="s">
        <v>2</v>
      </c>
      <c r="E59" s="26" t="s">
        <v>75</v>
      </c>
      <c r="F59" s="99">
        <v>2013</v>
      </c>
      <c r="G59" s="99">
        <v>2014</v>
      </c>
      <c r="H59" s="99">
        <v>2015</v>
      </c>
      <c r="I59" s="99">
        <v>2016</v>
      </c>
      <c r="J59" s="99">
        <v>2017</v>
      </c>
      <c r="K59" s="99">
        <v>2018</v>
      </c>
      <c r="L59" s="99">
        <v>2019</v>
      </c>
      <c r="M59" s="99">
        <v>2020</v>
      </c>
      <c r="N59" s="99">
        <v>2021</v>
      </c>
      <c r="O59" s="28" t="s">
        <v>128</v>
      </c>
      <c r="P59" s="28" t="s">
        <v>129</v>
      </c>
      <c r="Q59" s="28" t="s">
        <v>130</v>
      </c>
      <c r="R59" s="28" t="s">
        <v>131</v>
      </c>
      <c r="S59" s="28" t="s">
        <v>132</v>
      </c>
      <c r="T59" s="28" t="s">
        <v>133</v>
      </c>
      <c r="U59" s="28" t="s">
        <v>134</v>
      </c>
      <c r="V59" s="28" t="s">
        <v>135</v>
      </c>
      <c r="W59" s="28" t="s">
        <v>136</v>
      </c>
      <c r="X59" s="28" t="s">
        <v>137</v>
      </c>
      <c r="Y59" s="28" t="s">
        <v>138</v>
      </c>
      <c r="Z59" s="28" t="s">
        <v>139</v>
      </c>
      <c r="AA59" s="98" t="s">
        <v>125</v>
      </c>
      <c r="AB59" s="27" t="s">
        <v>126</v>
      </c>
      <c r="AC59" s="29" t="s">
        <v>127</v>
      </c>
    </row>
    <row r="60" spans="2:33" ht="64.5" customHeight="1" x14ac:dyDescent="0.25">
      <c r="B60" s="142" t="s">
        <v>35</v>
      </c>
      <c r="C60" s="30" t="s">
        <v>39</v>
      </c>
      <c r="D60" s="31" t="s">
        <v>49</v>
      </c>
      <c r="E60" s="77">
        <v>52506</v>
      </c>
      <c r="F60" s="77"/>
      <c r="G60" s="77"/>
      <c r="H60" s="77"/>
      <c r="I60" s="77"/>
      <c r="J60" s="77">
        <v>2483</v>
      </c>
      <c r="K60" s="77">
        <v>46584</v>
      </c>
      <c r="L60" s="77"/>
      <c r="M60" s="77">
        <v>2521</v>
      </c>
      <c r="N60" s="32">
        <v>918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f t="shared" ref="AA60:AA76" si="3">SUM(O60:Z60)</f>
        <v>0</v>
      </c>
      <c r="AB60" s="112">
        <f>F60+G60+H60+I60+J60+K60+L60+M60+N60+AA60</f>
        <v>52506</v>
      </c>
      <c r="AC60" s="80">
        <f t="shared" ref="AC60:AC76" si="4">AB60/E60</f>
        <v>1</v>
      </c>
      <c r="AE60" s="95"/>
      <c r="AG60" s="95"/>
    </row>
    <row r="61" spans="2:33" ht="60.75" customHeight="1" x14ac:dyDescent="0.25">
      <c r="B61" s="143"/>
      <c r="C61" s="8" t="s">
        <v>40</v>
      </c>
      <c r="D61" s="8" t="s">
        <v>86</v>
      </c>
      <c r="E61" s="16">
        <v>13</v>
      </c>
      <c r="F61" s="16"/>
      <c r="G61" s="16"/>
      <c r="H61" s="16"/>
      <c r="I61" s="16"/>
      <c r="J61" s="16">
        <v>3</v>
      </c>
      <c r="K61" s="16">
        <v>9</v>
      </c>
      <c r="L61" s="16"/>
      <c r="M61" s="16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>
        <f t="shared" si="3"/>
        <v>0</v>
      </c>
      <c r="AB61" s="124">
        <f t="shared" ref="AB61:AB76" si="5">F61+G61+H61+I61+J61+K61+L61+M61+N61+AA61</f>
        <v>13</v>
      </c>
      <c r="AC61" s="81">
        <f t="shared" si="4"/>
        <v>1</v>
      </c>
    </row>
    <row r="62" spans="2:33" ht="72" customHeight="1" x14ac:dyDescent="0.25">
      <c r="B62" s="143"/>
      <c r="C62" s="12" t="s">
        <v>41</v>
      </c>
      <c r="D62" s="17" t="s">
        <v>50</v>
      </c>
      <c r="E62" s="78">
        <v>1000</v>
      </c>
      <c r="F62" s="78"/>
      <c r="G62" s="78"/>
      <c r="H62" s="78"/>
      <c r="I62" s="78"/>
      <c r="J62" s="78"/>
      <c r="K62" s="78"/>
      <c r="L62" s="78">
        <v>1000</v>
      </c>
      <c r="M62" s="7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3"/>
        <v>0</v>
      </c>
      <c r="AB62" s="121">
        <f t="shared" si="5"/>
        <v>1000</v>
      </c>
      <c r="AC62" s="75">
        <f t="shared" si="4"/>
        <v>1</v>
      </c>
    </row>
    <row r="63" spans="2:33" ht="53.25" customHeight="1" thickBot="1" x14ac:dyDescent="0.3">
      <c r="B63" s="144"/>
      <c r="C63" s="45" t="s">
        <v>42</v>
      </c>
      <c r="D63" s="45" t="s">
        <v>51</v>
      </c>
      <c r="E63" s="79">
        <v>596</v>
      </c>
      <c r="F63" s="79"/>
      <c r="G63" s="79"/>
      <c r="H63" s="79"/>
      <c r="I63" s="79"/>
      <c r="J63" s="79"/>
      <c r="K63" s="79"/>
      <c r="L63" s="79">
        <v>596</v>
      </c>
      <c r="M63" s="79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>
        <f t="shared" si="3"/>
        <v>0</v>
      </c>
      <c r="AB63" s="125">
        <f t="shared" si="5"/>
        <v>596</v>
      </c>
      <c r="AC63" s="82">
        <f t="shared" si="4"/>
        <v>1</v>
      </c>
    </row>
    <row r="64" spans="2:33" ht="114.75" customHeight="1" x14ac:dyDescent="0.25">
      <c r="B64" s="145" t="s">
        <v>34</v>
      </c>
      <c r="C64" s="30" t="s">
        <v>43</v>
      </c>
      <c r="D64" s="31" t="s">
        <v>53</v>
      </c>
      <c r="E64" s="77">
        <v>988</v>
      </c>
      <c r="F64" s="77"/>
      <c r="G64" s="77"/>
      <c r="H64" s="77"/>
      <c r="I64" s="77"/>
      <c r="J64" s="77"/>
      <c r="K64" s="77">
        <v>577</v>
      </c>
      <c r="L64" s="77">
        <v>219</v>
      </c>
      <c r="M64" s="77">
        <v>42</v>
      </c>
      <c r="N64" s="33">
        <v>15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A64" s="33">
        <f t="shared" si="3"/>
        <v>0</v>
      </c>
      <c r="AB64" s="112">
        <f t="shared" si="5"/>
        <v>853</v>
      </c>
      <c r="AC64" s="34">
        <f t="shared" si="4"/>
        <v>0.86336032388663964</v>
      </c>
    </row>
    <row r="65" spans="2:29" ht="90" customHeight="1" x14ac:dyDescent="0.25">
      <c r="B65" s="146"/>
      <c r="C65" s="8" t="s">
        <v>98</v>
      </c>
      <c r="D65" s="8" t="s">
        <v>99</v>
      </c>
      <c r="E65" s="16">
        <v>8</v>
      </c>
      <c r="F65" s="16"/>
      <c r="G65" s="16"/>
      <c r="H65" s="16"/>
      <c r="I65" s="16"/>
      <c r="J65" s="16">
        <v>2</v>
      </c>
      <c r="K65" s="16">
        <v>2</v>
      </c>
      <c r="L65" s="16"/>
      <c r="M65" s="16"/>
      <c r="N65" s="40">
        <v>2</v>
      </c>
      <c r="O65" s="23"/>
      <c r="P65" s="23"/>
      <c r="Q65" s="23"/>
      <c r="R65" s="23">
        <f>1+1</f>
        <v>2</v>
      </c>
      <c r="S65" s="23"/>
      <c r="T65" s="23"/>
      <c r="U65" s="23"/>
      <c r="V65" s="23"/>
      <c r="W65" s="23"/>
      <c r="X65" s="23"/>
      <c r="Y65" s="23"/>
      <c r="Z65" s="40"/>
      <c r="AA65" s="40">
        <f t="shared" si="3"/>
        <v>2</v>
      </c>
      <c r="AB65" s="124">
        <f t="shared" si="5"/>
        <v>8</v>
      </c>
      <c r="AC65" s="37">
        <f t="shared" si="4"/>
        <v>1</v>
      </c>
    </row>
    <row r="66" spans="2:29" ht="39" customHeight="1" x14ac:dyDescent="0.25">
      <c r="B66" s="146"/>
      <c r="C66" s="12" t="s">
        <v>87</v>
      </c>
      <c r="D66" s="17" t="s">
        <v>88</v>
      </c>
      <c r="E66" s="78">
        <v>2</v>
      </c>
      <c r="F66" s="78"/>
      <c r="G66" s="78"/>
      <c r="H66" s="78"/>
      <c r="I66" s="78"/>
      <c r="J66" s="78"/>
      <c r="K66" s="78"/>
      <c r="L66" s="78">
        <v>2</v>
      </c>
      <c r="M66" s="78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  <c r="AA66" s="7">
        <f t="shared" si="3"/>
        <v>0</v>
      </c>
      <c r="AB66" s="121">
        <f t="shared" si="5"/>
        <v>2</v>
      </c>
      <c r="AC66" s="35">
        <f t="shared" si="4"/>
        <v>1</v>
      </c>
    </row>
    <row r="67" spans="2:29" ht="35.25" customHeight="1" x14ac:dyDescent="0.25">
      <c r="B67" s="146"/>
      <c r="C67" s="8" t="s">
        <v>89</v>
      </c>
      <c r="D67" s="8" t="s">
        <v>52</v>
      </c>
      <c r="E67" s="16">
        <v>2</v>
      </c>
      <c r="F67" s="16"/>
      <c r="G67" s="16"/>
      <c r="H67" s="16"/>
      <c r="I67" s="16"/>
      <c r="J67" s="16">
        <v>1</v>
      </c>
      <c r="K67" s="16"/>
      <c r="L67" s="16">
        <v>1</v>
      </c>
      <c r="M67" s="16"/>
      <c r="N67" s="40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40"/>
      <c r="AA67" s="40">
        <f t="shared" si="3"/>
        <v>0</v>
      </c>
      <c r="AB67" s="124">
        <f t="shared" si="5"/>
        <v>2</v>
      </c>
      <c r="AC67" s="37">
        <f t="shared" si="4"/>
        <v>1</v>
      </c>
    </row>
    <row r="68" spans="2:29" ht="68.25" customHeight="1" thickBot="1" x14ac:dyDescent="0.3">
      <c r="B68" s="147"/>
      <c r="C68" s="48" t="s">
        <v>44</v>
      </c>
      <c r="D68" s="49" t="s">
        <v>72</v>
      </c>
      <c r="E68" s="50">
        <v>1</v>
      </c>
      <c r="F68" s="50"/>
      <c r="G68" s="50"/>
      <c r="H68" s="50"/>
      <c r="I68" s="50">
        <v>1</v>
      </c>
      <c r="J68" s="50"/>
      <c r="K68" s="50"/>
      <c r="L68" s="50"/>
      <c r="M68" s="50"/>
      <c r="N68" s="5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>
        <f t="shared" si="3"/>
        <v>0</v>
      </c>
      <c r="AB68" s="113">
        <f t="shared" si="5"/>
        <v>1</v>
      </c>
      <c r="AC68" s="55">
        <f t="shared" si="4"/>
        <v>1</v>
      </c>
    </row>
    <row r="69" spans="2:29" ht="49.5" customHeight="1" x14ac:dyDescent="0.25">
      <c r="B69" s="142" t="s">
        <v>36</v>
      </c>
      <c r="C69" s="63" t="s">
        <v>45</v>
      </c>
      <c r="D69" s="63" t="s">
        <v>54</v>
      </c>
      <c r="E69" s="36">
        <v>26.1</v>
      </c>
      <c r="F69" s="36"/>
      <c r="G69" s="36"/>
      <c r="H69" s="36"/>
      <c r="I69" s="36"/>
      <c r="J69" s="36"/>
      <c r="K69" s="36"/>
      <c r="L69" s="36"/>
      <c r="M69" s="36"/>
      <c r="N69" s="42">
        <v>2.65</v>
      </c>
      <c r="O69" s="42"/>
      <c r="P69" s="126"/>
      <c r="Q69" s="42"/>
      <c r="R69" s="42">
        <v>11.39</v>
      </c>
      <c r="S69" s="42"/>
      <c r="T69" s="42"/>
      <c r="U69" s="42"/>
      <c r="V69" s="42"/>
      <c r="W69" s="42"/>
      <c r="X69" s="42"/>
      <c r="Y69" s="42"/>
      <c r="Z69" s="42"/>
      <c r="AA69" s="42">
        <f t="shared" si="3"/>
        <v>11.39</v>
      </c>
      <c r="AB69" s="127">
        <f t="shared" si="5"/>
        <v>14.040000000000001</v>
      </c>
      <c r="AC69" s="39">
        <f t="shared" si="4"/>
        <v>0.53793103448275859</v>
      </c>
    </row>
    <row r="70" spans="2:29" ht="82.5" customHeight="1" x14ac:dyDescent="0.25">
      <c r="B70" s="143"/>
      <c r="C70" s="12" t="s">
        <v>46</v>
      </c>
      <c r="D70" s="17" t="s">
        <v>55</v>
      </c>
      <c r="E70" s="78">
        <v>7852</v>
      </c>
      <c r="F70" s="78"/>
      <c r="G70" s="78">
        <v>798</v>
      </c>
      <c r="H70" s="78">
        <v>274</v>
      </c>
      <c r="I70" s="78">
        <v>920</v>
      </c>
      <c r="J70" s="78">
        <v>23</v>
      </c>
      <c r="K70" s="78">
        <v>60</v>
      </c>
      <c r="L70" s="78">
        <v>700</v>
      </c>
      <c r="M70" s="78">
        <v>275</v>
      </c>
      <c r="N70" s="6">
        <v>476</v>
      </c>
      <c r="O70" s="6"/>
      <c r="P70" s="6">
        <v>1</v>
      </c>
      <c r="Q70" s="6">
        <v>7</v>
      </c>
      <c r="R70" s="6">
        <v>7</v>
      </c>
      <c r="S70" s="6"/>
      <c r="T70" s="6">
        <f>5+120</f>
        <v>125</v>
      </c>
      <c r="U70" s="6">
        <v>1</v>
      </c>
      <c r="V70" s="6">
        <v>60</v>
      </c>
      <c r="W70" s="6">
        <v>1</v>
      </c>
      <c r="X70" s="6">
        <v>2</v>
      </c>
      <c r="Y70" s="6"/>
      <c r="Z70" s="6">
        <v>143</v>
      </c>
      <c r="AA70" s="6">
        <f>SUM(O70:Z70)</f>
        <v>347</v>
      </c>
      <c r="AB70" s="7">
        <f>F70+G70+H70+I70+J70+K70+L70+M70+N70+AA70</f>
        <v>3873</v>
      </c>
      <c r="AC70" s="35">
        <f>AB70/E70</f>
        <v>0.49325012735608764</v>
      </c>
    </row>
    <row r="71" spans="2:29" ht="88.5" customHeight="1" thickBot="1" x14ac:dyDescent="0.3">
      <c r="B71" s="148"/>
      <c r="C71" s="83" t="s">
        <v>47</v>
      </c>
      <c r="D71" s="84" t="s">
        <v>100</v>
      </c>
      <c r="E71" s="85">
        <v>3</v>
      </c>
      <c r="F71" s="85"/>
      <c r="G71" s="85"/>
      <c r="H71" s="85"/>
      <c r="I71" s="85"/>
      <c r="J71" s="85"/>
      <c r="K71" s="85"/>
      <c r="L71" s="85"/>
      <c r="M71" s="85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f t="shared" si="3"/>
        <v>0</v>
      </c>
      <c r="AB71" s="128">
        <f t="shared" si="5"/>
        <v>0</v>
      </c>
      <c r="AC71" s="38">
        <f t="shared" si="4"/>
        <v>0</v>
      </c>
    </row>
    <row r="72" spans="2:29" ht="80.25" customHeight="1" x14ac:dyDescent="0.25">
      <c r="B72" s="149" t="s">
        <v>37</v>
      </c>
      <c r="C72" s="30" t="s">
        <v>95</v>
      </c>
      <c r="D72" s="31" t="s">
        <v>94</v>
      </c>
      <c r="E72" s="77">
        <v>6</v>
      </c>
      <c r="F72" s="77"/>
      <c r="G72" s="77"/>
      <c r="H72" s="77">
        <v>1</v>
      </c>
      <c r="I72" s="77">
        <v>2</v>
      </c>
      <c r="J72" s="77">
        <v>1</v>
      </c>
      <c r="K72" s="77">
        <v>2</v>
      </c>
      <c r="L72" s="77"/>
      <c r="M72" s="77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f t="shared" si="3"/>
        <v>0</v>
      </c>
      <c r="AB72" s="33">
        <f t="shared" si="5"/>
        <v>6</v>
      </c>
      <c r="AC72" s="34">
        <f t="shared" si="4"/>
        <v>1</v>
      </c>
    </row>
    <row r="73" spans="2:29" ht="144.75" customHeight="1" x14ac:dyDescent="0.25">
      <c r="B73" s="150"/>
      <c r="C73" s="62" t="s">
        <v>101</v>
      </c>
      <c r="D73" s="11" t="s">
        <v>104</v>
      </c>
      <c r="E73" s="9">
        <v>3</v>
      </c>
      <c r="F73" s="9"/>
      <c r="G73" s="9"/>
      <c r="H73" s="9">
        <v>1</v>
      </c>
      <c r="I73" s="9"/>
      <c r="J73" s="9"/>
      <c r="K73" s="9"/>
      <c r="L73" s="9"/>
      <c r="M73" s="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>
        <f t="shared" si="3"/>
        <v>0</v>
      </c>
      <c r="AB73" s="40">
        <f t="shared" si="5"/>
        <v>1</v>
      </c>
      <c r="AC73" s="37">
        <f t="shared" si="4"/>
        <v>0.33333333333333331</v>
      </c>
    </row>
    <row r="74" spans="2:29" ht="75.75" thickBot="1" x14ac:dyDescent="0.3">
      <c r="B74" s="151"/>
      <c r="C74" s="48" t="s">
        <v>93</v>
      </c>
      <c r="D74" s="49" t="s">
        <v>96</v>
      </c>
      <c r="E74" s="50">
        <v>4</v>
      </c>
      <c r="F74" s="50"/>
      <c r="G74" s="50"/>
      <c r="H74" s="50"/>
      <c r="I74" s="50"/>
      <c r="J74" s="50"/>
      <c r="K74" s="50">
        <v>1</v>
      </c>
      <c r="L74" s="50">
        <v>1</v>
      </c>
      <c r="M74" s="50">
        <v>1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>
        <f t="shared" si="3"/>
        <v>0</v>
      </c>
      <c r="AB74" s="52">
        <f t="shared" si="5"/>
        <v>3</v>
      </c>
      <c r="AC74" s="55">
        <f t="shared" si="4"/>
        <v>0.75</v>
      </c>
    </row>
    <row r="75" spans="2:29" ht="94.5" customHeight="1" x14ac:dyDescent="0.25">
      <c r="B75" s="129" t="s">
        <v>38</v>
      </c>
      <c r="C75" s="86" t="s">
        <v>90</v>
      </c>
      <c r="D75" s="87" t="s">
        <v>73</v>
      </c>
      <c r="E75" s="88">
        <v>10</v>
      </c>
      <c r="F75" s="88"/>
      <c r="G75" s="88"/>
      <c r="H75" s="88"/>
      <c r="I75" s="88"/>
      <c r="J75" s="88">
        <v>5</v>
      </c>
      <c r="K75" s="88">
        <v>4</v>
      </c>
      <c r="L75" s="88"/>
      <c r="M75" s="88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90"/>
      <c r="AA75" s="90">
        <f t="shared" si="3"/>
        <v>0</v>
      </c>
      <c r="AB75" s="90">
        <f t="shared" si="5"/>
        <v>9</v>
      </c>
      <c r="AC75" s="91">
        <f t="shared" si="4"/>
        <v>0.9</v>
      </c>
    </row>
    <row r="76" spans="2:29" ht="40.5" customHeight="1" thickBot="1" x14ac:dyDescent="0.3">
      <c r="B76" s="130"/>
      <c r="C76" s="48" t="s">
        <v>91</v>
      </c>
      <c r="D76" s="49" t="s">
        <v>92</v>
      </c>
      <c r="E76" s="50">
        <v>4</v>
      </c>
      <c r="F76" s="50"/>
      <c r="G76" s="50"/>
      <c r="H76" s="50"/>
      <c r="I76" s="50"/>
      <c r="J76" s="50"/>
      <c r="K76" s="50">
        <v>2</v>
      </c>
      <c r="L76" s="50"/>
      <c r="M76" s="50"/>
      <c r="N76" s="5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>
        <f t="shared" si="3"/>
        <v>0</v>
      </c>
      <c r="AB76" s="52">
        <f t="shared" si="5"/>
        <v>2</v>
      </c>
      <c r="AC76" s="55">
        <f t="shared" si="4"/>
        <v>0.5</v>
      </c>
    </row>
  </sheetData>
  <autoFilter ref="B59:AC76" xr:uid="{F8931197-07DD-4F96-89F3-4382796C035F}"/>
  <mergeCells count="18">
    <mergeCell ref="B22:AC23"/>
    <mergeCell ref="B3:AC3"/>
    <mergeCell ref="B5:J5"/>
    <mergeCell ref="B7:J7"/>
    <mergeCell ref="B9:J9"/>
    <mergeCell ref="B19:J19"/>
    <mergeCell ref="B75:B76"/>
    <mergeCell ref="B25:J25"/>
    <mergeCell ref="B27:AC28"/>
    <mergeCell ref="B32:B33"/>
    <mergeCell ref="B35:B36"/>
    <mergeCell ref="B38:B44"/>
    <mergeCell ref="B46:B54"/>
    <mergeCell ref="B56:AC57"/>
    <mergeCell ref="B60:B63"/>
    <mergeCell ref="B64:B68"/>
    <mergeCell ref="B69:B71"/>
    <mergeCell ref="B72:B74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FED1-0084-4D23-88A6-754488A7AF4C}">
  <sheetPr>
    <pageSetUpPr fitToPage="1"/>
  </sheetPr>
  <dimension ref="B3:AF77"/>
  <sheetViews>
    <sheetView topLeftCell="A5" zoomScale="68" zoomScaleNormal="68" workbookViewId="0">
      <selection activeCell="B9" sqref="B9:J9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hidden="1" customWidth="1" outlineLevel="1"/>
    <col min="28" max="28" width="15.5703125" style="22" customWidth="1" collapsed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52" t="s">
        <v>102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4"/>
    </row>
    <row r="5" spans="2:30" ht="52.5" customHeight="1" x14ac:dyDescent="0.25">
      <c r="B5" s="131" t="s">
        <v>103</v>
      </c>
      <c r="C5" s="131"/>
      <c r="D5" s="131"/>
      <c r="E5" s="131"/>
      <c r="F5" s="131"/>
      <c r="G5" s="131"/>
      <c r="H5" s="131"/>
      <c r="I5" s="131"/>
      <c r="J5" s="131"/>
      <c r="K5" s="19"/>
      <c r="L5" s="19"/>
      <c r="M5" s="19"/>
      <c r="N5" s="19"/>
      <c r="O5" s="19"/>
    </row>
    <row r="7" spans="2:30" ht="15" customHeight="1" x14ac:dyDescent="0.25">
      <c r="B7" s="155" t="s">
        <v>74</v>
      </c>
      <c r="C7" s="156"/>
      <c r="D7" s="156"/>
      <c r="E7" s="156"/>
      <c r="F7" s="156"/>
      <c r="G7" s="156"/>
      <c r="H7" s="156"/>
      <c r="I7" s="156"/>
      <c r="J7" s="156"/>
      <c r="K7" s="25"/>
      <c r="L7" s="25"/>
      <c r="M7" s="25"/>
      <c r="N7" s="25"/>
      <c r="O7" s="25"/>
    </row>
    <row r="9" spans="2:30" ht="60.75" customHeight="1" x14ac:dyDescent="0.25">
      <c r="B9" s="131" t="s">
        <v>105</v>
      </c>
      <c r="C9" s="131"/>
      <c r="D9" s="131"/>
      <c r="E9" s="131"/>
      <c r="F9" s="131"/>
      <c r="G9" s="131"/>
      <c r="H9" s="131"/>
      <c r="I9" s="131"/>
      <c r="J9" s="131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44986</v>
      </c>
      <c r="C19" s="110">
        <v>0.89300000000000002</v>
      </c>
    </row>
    <row r="20" spans="2:30" ht="15" customHeight="1" x14ac:dyDescent="0.25">
      <c r="B20" s="157"/>
      <c r="C20" s="157"/>
      <c r="D20" s="157"/>
      <c r="E20" s="157"/>
      <c r="F20" s="157"/>
      <c r="G20" s="157"/>
      <c r="H20" s="157"/>
      <c r="I20" s="157"/>
      <c r="J20" s="157"/>
      <c r="K20" s="19"/>
      <c r="L20" s="19"/>
      <c r="M20" s="19"/>
      <c r="N20" s="19"/>
      <c r="O20" s="19"/>
    </row>
    <row r="23" spans="2:30" x14ac:dyDescent="0.25">
      <c r="B23" s="132" t="s">
        <v>67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2:30" x14ac:dyDescent="0.2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6" spans="2:30" ht="27.75" customHeight="1" x14ac:dyDescent="0.25">
      <c r="B26" s="131" t="s">
        <v>109</v>
      </c>
      <c r="C26" s="131"/>
      <c r="D26" s="131"/>
      <c r="E26" s="131"/>
      <c r="F26" s="131"/>
      <c r="G26" s="131"/>
      <c r="H26" s="131"/>
      <c r="I26" s="131"/>
      <c r="J26" s="131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32" t="s">
        <v>68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2:30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108</v>
      </c>
      <c r="AC31" s="27" t="s">
        <v>106</v>
      </c>
      <c r="AD31" s="29" t="s">
        <v>107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/>
      <c r="T32" s="3"/>
      <c r="U32" s="3"/>
      <c r="V32" s="3"/>
      <c r="W32" s="69"/>
      <c r="X32" s="69"/>
      <c r="Y32" s="69"/>
      <c r="Z32" s="69"/>
      <c r="AA32" s="69"/>
      <c r="AB32" s="69">
        <f>SUM(P32:AA32)</f>
        <v>238</v>
      </c>
      <c r="AC32" s="69">
        <f>+SUM(F32:O32)+AB32</f>
        <v>38019</v>
      </c>
      <c r="AD32" s="101">
        <f t="shared" ref="AD32:AD55" si="0">AC32/E32</f>
        <v>0.86597726806824138</v>
      </c>
    </row>
    <row r="33" spans="2:30" ht="45" x14ac:dyDescent="0.25">
      <c r="B33" s="134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f t="shared" ref="AB33:AB55" si="1">SUM(P33:AA33)</f>
        <v>0</v>
      </c>
      <c r="AC33" s="32">
        <f t="shared" ref="AC33:AC55" si="2">+SUM(F33:O33)+AB33</f>
        <v>118</v>
      </c>
      <c r="AD33" s="34">
        <f t="shared" si="0"/>
        <v>0.90769230769230769</v>
      </c>
    </row>
    <row r="34" spans="2:30" ht="45.75" thickBot="1" x14ac:dyDescent="0.3">
      <c r="B34" s="135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/>
      <c r="T35" s="69"/>
      <c r="U35" s="69"/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36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37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>
        <f t="shared" si="1"/>
        <v>0</v>
      </c>
      <c r="AC38" s="69">
        <f t="shared" si="2"/>
        <v>238</v>
      </c>
      <c r="AD38" s="70">
        <f t="shared" si="0"/>
        <v>0.93333333333333335</v>
      </c>
    </row>
    <row r="39" spans="2:30" ht="90" x14ac:dyDescent="0.25">
      <c r="B39" s="158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59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59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59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59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59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59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0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39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40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40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40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40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40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40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40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41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32" t="s">
        <v>69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2:32" x14ac:dyDescent="0.25"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108</v>
      </c>
      <c r="AC60" s="27" t="s">
        <v>106</v>
      </c>
      <c r="AD60" s="29" t="s">
        <v>107</v>
      </c>
    </row>
    <row r="61" spans="2:32" ht="64.5" customHeight="1" x14ac:dyDescent="0.25">
      <c r="B61" s="142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>
        <f t="shared" ref="AB61:AB77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43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43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44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45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/>
      <c r="T65" s="32"/>
      <c r="U65" s="32"/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46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46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46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47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42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/>
      <c r="T70" s="42"/>
      <c r="U70" s="42"/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43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/>
      <c r="T71" s="6"/>
      <c r="U71" s="6"/>
      <c r="V71" s="6"/>
      <c r="W71" s="6"/>
      <c r="X71" s="6"/>
      <c r="Y71" s="6"/>
      <c r="Z71" s="6"/>
      <c r="AA71" s="6"/>
      <c r="AB71" s="6">
        <f>SUM(P71:AA71)</f>
        <v>64</v>
      </c>
      <c r="AC71" s="6">
        <f t="shared" si="4"/>
        <v>3937</v>
      </c>
      <c r="AD71" s="35">
        <f>AC71/E71</f>
        <v>0.50140091696383082</v>
      </c>
    </row>
    <row r="72" spans="2:30" ht="88.5" customHeight="1" thickBot="1" x14ac:dyDescent="0.3">
      <c r="B72" s="148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49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50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51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29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/>
      <c r="T76" s="89"/>
      <c r="U76" s="89"/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30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/>
      <c r="T77" s="51"/>
      <c r="U77" s="51"/>
      <c r="V77" s="51"/>
      <c r="W77" s="51"/>
      <c r="X77" s="51"/>
      <c r="Y77" s="51"/>
      <c r="Z77" s="51"/>
      <c r="AA77" s="52"/>
      <c r="AB77" s="52">
        <f t="shared" si="3"/>
        <v>1</v>
      </c>
      <c r="AC77" s="52">
        <f t="shared" si="4"/>
        <v>3</v>
      </c>
      <c r="AD77" s="55">
        <f t="shared" si="5"/>
        <v>0.75</v>
      </c>
    </row>
  </sheetData>
  <mergeCells count="18">
    <mergeCell ref="B23:AD24"/>
    <mergeCell ref="B3:AD3"/>
    <mergeCell ref="B5:J5"/>
    <mergeCell ref="B7:J7"/>
    <mergeCell ref="B9:J9"/>
    <mergeCell ref="B20:J20"/>
    <mergeCell ref="B76:B77"/>
    <mergeCell ref="B26:J26"/>
    <mergeCell ref="B28:AD29"/>
    <mergeCell ref="B33:B34"/>
    <mergeCell ref="B36:B37"/>
    <mergeCell ref="B39:B46"/>
    <mergeCell ref="B47:B55"/>
    <mergeCell ref="B57:AD58"/>
    <mergeCell ref="B61:B64"/>
    <mergeCell ref="B65:B69"/>
    <mergeCell ref="B70:B72"/>
    <mergeCell ref="B73:B75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7193-82A3-4052-9892-17370E13DFF9}">
  <sheetPr>
    <pageSetUpPr fitToPage="1"/>
  </sheetPr>
  <dimension ref="B3:AF77"/>
  <sheetViews>
    <sheetView tabSelected="1" zoomScale="68" zoomScaleNormal="68" workbookViewId="0">
      <selection activeCell="B5" sqref="B5:J5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1" width="15.140625" style="22" customWidth="1" outlineLevel="1"/>
    <col min="22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52" t="s">
        <v>102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4"/>
    </row>
    <row r="5" spans="2:30" ht="52.5" customHeight="1" x14ac:dyDescent="0.25">
      <c r="B5" s="131" t="s">
        <v>103</v>
      </c>
      <c r="C5" s="131"/>
      <c r="D5" s="131"/>
      <c r="E5" s="131"/>
      <c r="F5" s="131"/>
      <c r="G5" s="131"/>
      <c r="H5" s="131"/>
      <c r="I5" s="131"/>
      <c r="J5" s="131"/>
      <c r="K5" s="19"/>
      <c r="L5" s="19"/>
      <c r="M5" s="19"/>
      <c r="N5" s="19"/>
      <c r="O5" s="19"/>
    </row>
    <row r="7" spans="2:30" ht="15" customHeight="1" x14ac:dyDescent="0.25">
      <c r="B7" s="155" t="s">
        <v>74</v>
      </c>
      <c r="C7" s="156"/>
      <c r="D7" s="156"/>
      <c r="E7" s="156"/>
      <c r="F7" s="156"/>
      <c r="G7" s="156"/>
      <c r="H7" s="156"/>
      <c r="I7" s="156"/>
      <c r="J7" s="156"/>
      <c r="K7" s="25"/>
      <c r="L7" s="25"/>
      <c r="M7" s="25"/>
      <c r="N7" s="25"/>
      <c r="O7" s="25"/>
    </row>
    <row r="9" spans="2:30" ht="60.75" customHeight="1" x14ac:dyDescent="0.25">
      <c r="B9" s="131" t="s">
        <v>105</v>
      </c>
      <c r="C9" s="131"/>
      <c r="D9" s="131"/>
      <c r="E9" s="131"/>
      <c r="F9" s="131"/>
      <c r="G9" s="131"/>
      <c r="H9" s="131"/>
      <c r="I9" s="131"/>
      <c r="J9" s="131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110">
        <v>0.89800000000000002</v>
      </c>
    </row>
    <row r="20" spans="2:30" ht="15" customHeight="1" x14ac:dyDescent="0.25">
      <c r="B20" s="157"/>
      <c r="C20" s="157"/>
      <c r="D20" s="157"/>
      <c r="E20" s="157"/>
      <c r="F20" s="157"/>
      <c r="G20" s="157"/>
      <c r="H20" s="157"/>
      <c r="I20" s="157"/>
      <c r="J20" s="157"/>
      <c r="K20" s="19"/>
      <c r="L20" s="19"/>
      <c r="M20" s="19"/>
      <c r="N20" s="19"/>
      <c r="O20" s="19"/>
    </row>
    <row r="23" spans="2:30" x14ac:dyDescent="0.25">
      <c r="B23" s="132" t="s">
        <v>143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2:30" x14ac:dyDescent="0.2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6" spans="2:30" ht="27.75" customHeight="1" x14ac:dyDescent="0.25">
      <c r="B26" s="131" t="s">
        <v>109</v>
      </c>
      <c r="C26" s="131"/>
      <c r="D26" s="131"/>
      <c r="E26" s="131"/>
      <c r="F26" s="131"/>
      <c r="G26" s="131"/>
      <c r="H26" s="131"/>
      <c r="I26" s="131"/>
      <c r="J26" s="131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32" t="s">
        <v>68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2:30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140</v>
      </c>
      <c r="AC31" s="27" t="s">
        <v>141</v>
      </c>
      <c r="AD31" s="29" t="s">
        <v>142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>
        <v>103</v>
      </c>
      <c r="T32" s="3">
        <v>224</v>
      </c>
      <c r="U32" s="3">
        <v>64</v>
      </c>
      <c r="V32" s="3"/>
      <c r="W32" s="69"/>
      <c r="X32" s="69"/>
      <c r="Y32" s="69"/>
      <c r="Z32" s="69"/>
      <c r="AA32" s="69"/>
      <c r="AB32" s="69">
        <f>SUM(P32:AA32)</f>
        <v>629</v>
      </c>
      <c r="AC32" s="69">
        <f>+SUM(F32:O32)+AB32</f>
        <v>38410</v>
      </c>
      <c r="AD32" s="101">
        <f t="shared" ref="AD32:AD55" si="0">AC32/E32</f>
        <v>0.87488326538049788</v>
      </c>
    </row>
    <row r="33" spans="2:30" ht="45" x14ac:dyDescent="0.25">
      <c r="B33" s="134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>
        <v>0</v>
      </c>
      <c r="T33" s="32">
        <v>0</v>
      </c>
      <c r="U33" s="32">
        <v>1</v>
      </c>
      <c r="V33" s="32"/>
      <c r="W33" s="32"/>
      <c r="X33" s="32"/>
      <c r="Y33" s="32"/>
      <c r="Z33" s="32"/>
      <c r="AA33" s="32"/>
      <c r="AB33" s="32">
        <f t="shared" ref="AB33:AB55" si="1">SUM(P33:AA33)</f>
        <v>1</v>
      </c>
      <c r="AC33" s="32">
        <f t="shared" ref="AC33:AC55" si="2">+SUM(F33:O33)+AB33</f>
        <v>119</v>
      </c>
      <c r="AD33" s="34">
        <f t="shared" si="0"/>
        <v>0.91538461538461535</v>
      </c>
    </row>
    <row r="34" spans="2:30" ht="45.75" thickBot="1" x14ac:dyDescent="0.3">
      <c r="B34" s="135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>
        <v>0</v>
      </c>
      <c r="T34" s="51">
        <v>0</v>
      </c>
      <c r="U34" s="51">
        <v>0</v>
      </c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>
        <v>0</v>
      </c>
      <c r="T35" s="69">
        <v>0</v>
      </c>
      <c r="U35" s="69">
        <v>0</v>
      </c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36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37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>
        <v>0</v>
      </c>
      <c r="T37" s="51">
        <v>0</v>
      </c>
      <c r="U37" s="51">
        <v>0</v>
      </c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>
        <v>0</v>
      </c>
      <c r="S38" s="69">
        <v>0</v>
      </c>
      <c r="T38" s="69">
        <v>1</v>
      </c>
      <c r="U38" s="69">
        <v>0</v>
      </c>
      <c r="V38" s="69"/>
      <c r="W38" s="69"/>
      <c r="X38" s="69"/>
      <c r="Y38" s="69"/>
      <c r="Z38" s="69"/>
      <c r="AA38" s="69"/>
      <c r="AB38" s="69">
        <f t="shared" si="1"/>
        <v>1</v>
      </c>
      <c r="AC38" s="69">
        <f t="shared" si="2"/>
        <v>239</v>
      </c>
      <c r="AD38" s="70">
        <f t="shared" si="0"/>
        <v>0.93725490196078431</v>
      </c>
    </row>
    <row r="39" spans="2:30" ht="90" x14ac:dyDescent="0.25">
      <c r="B39" s="158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59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59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59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59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59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59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0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39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40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40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40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40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40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40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40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41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32" t="s">
        <v>69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2:32" x14ac:dyDescent="0.25"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140</v>
      </c>
      <c r="AC60" s="27" t="s">
        <v>141</v>
      </c>
      <c r="AD60" s="29" t="s">
        <v>142</v>
      </c>
    </row>
    <row r="61" spans="2:32" ht="64.5" customHeight="1" x14ac:dyDescent="0.25">
      <c r="B61" s="142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>
        <v>0</v>
      </c>
      <c r="T61" s="32">
        <v>0</v>
      </c>
      <c r="U61" s="32">
        <v>0</v>
      </c>
      <c r="V61" s="32"/>
      <c r="W61" s="32"/>
      <c r="X61" s="32"/>
      <c r="Y61" s="32"/>
      <c r="Z61" s="32"/>
      <c r="AA61" s="32"/>
      <c r="AB61" s="32">
        <f t="shared" ref="AB61:AB76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43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>
        <v>0</v>
      </c>
      <c r="T62" s="23">
        <v>0</v>
      </c>
      <c r="U62" s="23">
        <v>0</v>
      </c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43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>
        <v>0</v>
      </c>
      <c r="T63" s="6">
        <v>0</v>
      </c>
      <c r="U63" s="6">
        <v>0</v>
      </c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44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>
        <v>0</v>
      </c>
      <c r="T64" s="65">
        <v>0</v>
      </c>
      <c r="U64" s="65">
        <v>0</v>
      </c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45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46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>
        <v>0</v>
      </c>
      <c r="T66" s="23">
        <v>0</v>
      </c>
      <c r="U66" s="23">
        <v>0</v>
      </c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46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>
        <v>0</v>
      </c>
      <c r="T67" s="6">
        <v>0</v>
      </c>
      <c r="U67" s="6">
        <v>0</v>
      </c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46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>
        <v>0</v>
      </c>
      <c r="T68" s="23">
        <v>0</v>
      </c>
      <c r="U68" s="23">
        <v>0</v>
      </c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47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>
        <v>0</v>
      </c>
      <c r="T69" s="51">
        <v>0</v>
      </c>
      <c r="U69" s="51">
        <v>0</v>
      </c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42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>
        <v>0</v>
      </c>
      <c r="T70" s="42">
        <v>0</v>
      </c>
      <c r="U70" s="42">
        <v>0</v>
      </c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43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>
        <v>4</v>
      </c>
      <c r="T71" s="6">
        <v>4</v>
      </c>
      <c r="U71" s="6">
        <v>43</v>
      </c>
      <c r="V71" s="6"/>
      <c r="W71" s="6"/>
      <c r="X71" s="6"/>
      <c r="Y71" s="6"/>
      <c r="Z71" s="6"/>
      <c r="AA71" s="6"/>
      <c r="AB71" s="6">
        <f>SUM(P71:AA71)</f>
        <v>115</v>
      </c>
      <c r="AC71" s="6">
        <f t="shared" si="4"/>
        <v>3988</v>
      </c>
      <c r="AD71" s="35">
        <f>AC71/E71</f>
        <v>0.50789607743250131</v>
      </c>
    </row>
    <row r="72" spans="2:30" ht="88.5" customHeight="1" thickBot="1" x14ac:dyDescent="0.3">
      <c r="B72" s="148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49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>
        <v>0</v>
      </c>
      <c r="T73" s="32">
        <v>0</v>
      </c>
      <c r="U73" s="32">
        <v>0</v>
      </c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50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>
        <v>0</v>
      </c>
      <c r="T74" s="23">
        <v>0</v>
      </c>
      <c r="U74" s="23">
        <v>0</v>
      </c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51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>
        <v>0</v>
      </c>
      <c r="T75" s="51">
        <v>0</v>
      </c>
      <c r="U75" s="51">
        <v>0</v>
      </c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29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>
        <v>0</v>
      </c>
      <c r="T76" s="89">
        <v>0</v>
      </c>
      <c r="U76" s="89">
        <v>0</v>
      </c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30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>
        <v>1</v>
      </c>
      <c r="T77" s="51">
        <v>0</v>
      </c>
      <c r="U77" s="51">
        <v>0</v>
      </c>
      <c r="V77" s="51"/>
      <c r="W77" s="51"/>
      <c r="X77" s="51"/>
      <c r="Y77" s="51"/>
      <c r="Z77" s="51"/>
      <c r="AA77" s="52"/>
      <c r="AB77" s="52">
        <f>SUM(P77:AA77)</f>
        <v>2</v>
      </c>
      <c r="AC77" s="52">
        <f t="shared" si="4"/>
        <v>4</v>
      </c>
      <c r="AD77" s="55">
        <f t="shared" si="5"/>
        <v>1</v>
      </c>
    </row>
  </sheetData>
  <mergeCells count="18">
    <mergeCell ref="B76:B77"/>
    <mergeCell ref="B26:J26"/>
    <mergeCell ref="B28:AD29"/>
    <mergeCell ref="B33:B34"/>
    <mergeCell ref="B36:B37"/>
    <mergeCell ref="B47:B55"/>
    <mergeCell ref="B57:AD58"/>
    <mergeCell ref="B61:B64"/>
    <mergeCell ref="B65:B69"/>
    <mergeCell ref="B70:B72"/>
    <mergeCell ref="B73:B75"/>
    <mergeCell ref="B39:B46"/>
    <mergeCell ref="B23:AD24"/>
    <mergeCell ref="B3:AD3"/>
    <mergeCell ref="B5:J5"/>
    <mergeCell ref="B7:J7"/>
    <mergeCell ref="B9:J9"/>
    <mergeCell ref="B20:J20"/>
  </mergeCells>
  <phoneticPr fontId="7" type="noConversion"/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Avance General y Det DIC2022 FA</vt:lpstr>
      <vt:lpstr>Avance General y Det MARZ 2023</vt:lpstr>
      <vt:lpstr>Avance General y Det JUNIO 2023</vt:lpstr>
      <vt:lpstr>'Avance General y Det DIC2022 FA'!Área_de_impresión</vt:lpstr>
      <vt:lpstr>'Avance General y Det JUNIO 2023'!Área_de_impresión</vt:lpstr>
      <vt:lpstr>'Avance General y Det MARZ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Bustos Quintero</dc:creator>
  <cp:lastModifiedBy>Jenniffer Johanna Serrano Ulloque</cp:lastModifiedBy>
  <cp:lastPrinted>2021-12-23T17:42:53Z</cp:lastPrinted>
  <dcterms:created xsi:type="dcterms:W3CDTF">2021-12-16T14:30:38Z</dcterms:created>
  <dcterms:modified xsi:type="dcterms:W3CDTF">2023-07-14T17:45:32Z</dcterms:modified>
</cp:coreProperties>
</file>